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tabRatio="608" firstSheet="3" activeTab="5"/>
  </bookViews>
  <sheets>
    <sheet name="6.04 Notice" sheetId="16" r:id="rId1"/>
    <sheet name="6.04 Tableau 1" sheetId="13" r:id="rId2"/>
    <sheet name="6.04 Tableau 2" sheetId="18" r:id="rId3"/>
    <sheet name="6.04 Tableau 3" sheetId="17" r:id="rId4"/>
    <sheet name="6.04 Tableau 4" sheetId="15" r:id="rId5"/>
    <sheet name="6.04 Graphique 5" sheetId="12" r:id="rId6"/>
  </sheets>
  <calcPr calcId="162913"/>
</workbook>
</file>

<file path=xl/calcChain.xml><?xml version="1.0" encoding="utf-8"?>
<calcChain xmlns="http://schemas.openxmlformats.org/spreadsheetml/2006/main">
  <c r="L12" i="12" l="1"/>
  <c r="G8" i="15"/>
  <c r="F8" i="15"/>
  <c r="E8" i="15"/>
  <c r="D8" i="15"/>
  <c r="C8" i="15"/>
  <c r="B8" i="15"/>
  <c r="G7" i="15"/>
  <c r="F7" i="15"/>
  <c r="E7" i="15"/>
  <c r="D7" i="15"/>
  <c r="C7" i="15"/>
  <c r="B7" i="15"/>
  <c r="G6" i="18"/>
  <c r="C19" i="18"/>
  <c r="K8" i="15" l="1"/>
  <c r="A3" i="12" l="1"/>
  <c r="A3" i="15"/>
  <c r="A3" i="17"/>
  <c r="A3" i="18"/>
  <c r="A3" i="13"/>
  <c r="A1" i="18"/>
  <c r="A1" i="17"/>
  <c r="A1" i="15"/>
  <c r="A1" i="12"/>
  <c r="A1" i="13"/>
  <c r="K7" i="15" l="1"/>
  <c r="H7" i="15"/>
  <c r="C18" i="15"/>
  <c r="G18" i="18"/>
  <c r="C10" i="18"/>
  <c r="G11" i="18"/>
  <c r="G8" i="18"/>
  <c r="K12" i="12"/>
  <c r="H8" i="15" l="1"/>
  <c r="I9" i="15" l="1"/>
  <c r="E9" i="15" l="1"/>
  <c r="D9" i="15"/>
  <c r="G9" i="15"/>
  <c r="F9" i="15"/>
  <c r="C9" i="15"/>
  <c r="B9" i="15"/>
  <c r="H9" i="15" l="1"/>
  <c r="J11" i="12"/>
  <c r="J10" i="12"/>
  <c r="J9" i="12"/>
  <c r="J8" i="12"/>
  <c r="J7" i="12"/>
  <c r="J6" i="12"/>
  <c r="J12" i="12" l="1"/>
  <c r="G7" i="18" l="1"/>
  <c r="G14" i="18" l="1"/>
  <c r="J9" i="15" l="1"/>
  <c r="K9" i="15" s="1"/>
  <c r="G9" i="18"/>
  <c r="G12" i="18"/>
  <c r="G13" i="18"/>
  <c r="G15" i="18"/>
  <c r="G17" i="18"/>
  <c r="B7" i="17"/>
  <c r="C7" i="17"/>
  <c r="D7" i="17"/>
  <c r="E7" i="17"/>
  <c r="F7" i="17"/>
  <c r="G7" i="17"/>
  <c r="H7" i="17"/>
  <c r="B8" i="17"/>
  <c r="C8" i="17"/>
  <c r="D8" i="17"/>
  <c r="E8" i="17"/>
  <c r="F8" i="17"/>
  <c r="G8" i="17"/>
  <c r="H8" i="17"/>
  <c r="G10" i="18" l="1"/>
  <c r="C20" i="18"/>
  <c r="G19" i="18"/>
  <c r="F20" i="18"/>
  <c r="G20" i="18" l="1"/>
  <c r="D6" i="18"/>
  <c r="D14" i="18"/>
  <c r="D18" i="18"/>
  <c r="D19" i="18"/>
  <c r="D7" i="18"/>
  <c r="D9" i="18"/>
  <c r="D11" i="18"/>
  <c r="D15" i="18"/>
  <c r="D8" i="18"/>
  <c r="D17" i="18"/>
  <c r="D12" i="18"/>
  <c r="D13" i="18"/>
  <c r="D10" i="18"/>
  <c r="I6" i="12" l="1"/>
  <c r="I7" i="12"/>
  <c r="I8" i="12"/>
  <c r="I9" i="12"/>
  <c r="I10" i="12"/>
  <c r="I11" i="12"/>
  <c r="H12" i="13" l="1"/>
  <c r="F12" i="13"/>
  <c r="F11" i="13" s="1"/>
  <c r="G12" i="13"/>
  <c r="G11" i="13" s="1"/>
  <c r="B12" i="13"/>
  <c r="C12" i="13"/>
  <c r="D12" i="13"/>
  <c r="D11" i="13" s="1"/>
  <c r="E12" i="13"/>
  <c r="I12" i="12"/>
  <c r="H11" i="12"/>
  <c r="H10" i="12"/>
  <c r="H9" i="12"/>
  <c r="H8" i="12"/>
  <c r="H7" i="12"/>
  <c r="H6" i="12"/>
  <c r="G11" i="12"/>
  <c r="G9" i="12"/>
  <c r="G10" i="12"/>
  <c r="G8" i="12"/>
  <c r="G7" i="12"/>
  <c r="G6" i="12"/>
  <c r="F11" i="12"/>
  <c r="F10" i="12"/>
  <c r="F9" i="12"/>
  <c r="F8" i="12"/>
  <c r="F12" i="12" s="1"/>
  <c r="F7" i="12"/>
  <c r="F6" i="12"/>
  <c r="E8" i="12"/>
  <c r="E11" i="12"/>
  <c r="E10" i="12"/>
  <c r="E9" i="12"/>
  <c r="E7" i="12"/>
  <c r="E6" i="12"/>
  <c r="D11" i="12"/>
  <c r="D10" i="12"/>
  <c r="D9" i="12"/>
  <c r="D7" i="12"/>
  <c r="D8" i="12"/>
  <c r="D6" i="12"/>
  <c r="C11" i="12"/>
  <c r="C10" i="12"/>
  <c r="C9" i="12"/>
  <c r="C8" i="12"/>
  <c r="C7" i="12"/>
  <c r="C6" i="12"/>
  <c r="C12" i="12" s="1"/>
  <c r="B11" i="12"/>
  <c r="B10" i="12"/>
  <c r="B9" i="12"/>
  <c r="B8" i="12"/>
  <c r="B7" i="12"/>
  <c r="B6" i="12"/>
  <c r="C11" i="13" l="1"/>
  <c r="C8" i="13"/>
  <c r="B11" i="13"/>
  <c r="B8" i="13"/>
  <c r="D12" i="12"/>
  <c r="G12" i="12"/>
  <c r="B12" i="12"/>
  <c r="E8" i="13"/>
  <c r="H11" i="13"/>
  <c r="H8" i="13"/>
  <c r="F8" i="13"/>
  <c r="E11" i="13"/>
  <c r="D8" i="13"/>
  <c r="G8" i="13"/>
  <c r="E12" i="12"/>
  <c r="H12" i="12"/>
  <c r="I12" i="13" l="1"/>
  <c r="I11" i="13" l="1"/>
  <c r="I8" i="13"/>
</calcChain>
</file>

<file path=xl/sharedStrings.xml><?xml version="1.0" encoding="utf-8"?>
<sst xmlns="http://schemas.openxmlformats.org/spreadsheetml/2006/main" count="117" uniqueCount="111">
  <si>
    <t>Public</t>
  </si>
  <si>
    <t>Privé</t>
  </si>
  <si>
    <t>Public + Privé</t>
  </si>
  <si>
    <t>Total</t>
  </si>
  <si>
    <t>Autres</t>
  </si>
  <si>
    <t>Domaines de spécialité</t>
  </si>
  <si>
    <t>Production</t>
  </si>
  <si>
    <t>Services</t>
  </si>
  <si>
    <t>STMG</t>
  </si>
  <si>
    <t>STI2D, STD2A</t>
  </si>
  <si>
    <t>2016  2017</t>
  </si>
  <si>
    <t>2017  2018</t>
  </si>
  <si>
    <t>2018  2019</t>
  </si>
  <si>
    <t>Agriculteurs exploitants, artisans, commerçants et chefs d'entreprise</t>
  </si>
  <si>
    <t>Cadres et professions intellectuelles supérieures</t>
  </si>
  <si>
    <t>Professions Intermédiaires</t>
  </si>
  <si>
    <t>Employés</t>
  </si>
  <si>
    <t>Ouvriers</t>
  </si>
  <si>
    <t>Ensemble</t>
  </si>
  <si>
    <t>Autres origines (2)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</si>
  <si>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Brevet de technicien, université, IUT, vie active, étudiants étrangers et autres.</t>
    </r>
  </si>
  <si>
    <t>2019-2020</t>
  </si>
  <si>
    <t>2020-2021</t>
  </si>
  <si>
    <t>Progression annuelle des entrants (%)</t>
  </si>
  <si>
    <t>2021-2022</t>
  </si>
  <si>
    <t>Bac général</t>
  </si>
  <si>
    <t>% par rapport à l'effectif total</t>
  </si>
  <si>
    <t>Évolution annuelle en % (1) (2)</t>
  </si>
  <si>
    <t>Bac pro</t>
  </si>
  <si>
    <t>Bac technologiques</t>
  </si>
  <si>
    <t>Source : systèmes d'information des ministères chargés de l'Éducation Nationale, de l'Agriculture et de la Mer. Traitement SIES-MESR.</t>
  </si>
  <si>
    <t>Sommaire</t>
  </si>
  <si>
    <t>Précisions</t>
  </si>
  <si>
    <t>Pour en savoir plus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</si>
  <si>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</si>
  <si>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</si>
  <si>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</si>
  <si>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</si>
  <si>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</si>
  <si>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</si>
  <si>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</si>
  <si>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Source : systèmes d'information des ministères chargés de l'Éducation Nationale et de la Mer. Traitement SIES-MESR.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</si>
  <si>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Voir note 1 du tableau 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.</t>
    </r>
  </si>
  <si>
    <t>Retraités et inactifs *</t>
  </si>
  <si>
    <t>* sont pris en compte les Non renseignés</t>
  </si>
  <si>
    <t>Champ : Région Corse, établissements publics et privés sous ou hors contrat.</t>
  </si>
  <si>
    <t>2022-2023</t>
  </si>
  <si>
    <t>-5,5</t>
  </si>
  <si>
    <t>Source : systèmes d'information des ministères chargés de l'Éducation Nationale</t>
  </si>
  <si>
    <t xml:space="preserve">Actualisé le 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</si>
  <si>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</si>
  <si>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</si>
  <si>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</si>
  <si>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Champ : Région Corse établissements publics et privés sous ou hors contrat, étudiants sous statut scolaire.</t>
  </si>
  <si>
    <t>Source :</t>
  </si>
  <si>
    <t>► Champ : Corse, établissements publics et privés sous ou hors contrat, étudiants sous statut scolaire.</t>
  </si>
  <si>
    <t>Spécialité des services</t>
  </si>
  <si>
    <t>Spécialité de la production</t>
  </si>
  <si>
    <t>Champ : Région Corse, établissements publics et privés sous ou hors contrat, étudiants sous statut scolaire.</t>
  </si>
  <si>
    <t>Ensemble des spécialités</t>
  </si>
  <si>
    <t>Total des spécialités des services</t>
  </si>
  <si>
    <t>Accueil, hôtellerie, tourisme</t>
  </si>
  <si>
    <t>Spécialités plurivalentes sanitaires et sociales</t>
  </si>
  <si>
    <t>Informatique, traitement de l'information, transmission des données</t>
  </si>
  <si>
    <t>Secrétariat, bureautique</t>
  </si>
  <si>
    <t>Comptabilité, gestion</t>
  </si>
  <si>
    <t>Commerce, vente</t>
  </si>
  <si>
    <t>Total des spécialités de la production</t>
  </si>
  <si>
    <t>Électricité, électronique</t>
  </si>
  <si>
    <t>Spécialités pluritechnologiques en mécanique-électricité</t>
  </si>
  <si>
    <t>Forêts, espaces verts, faune sauvage, pêche</t>
  </si>
  <si>
    <t>Technologies de commandes des transformations industrielles</t>
  </si>
  <si>
    <t>Évolution annuelle (%)</t>
  </si>
  <si>
    <t>Part des femmes (%)</t>
  </si>
  <si>
    <t>Répartition (%)</t>
  </si>
  <si>
    <t>Groupes de spécialités de formation</t>
  </si>
  <si>
    <t>2023-2024</t>
  </si>
  <si>
    <t>-33,6</t>
  </si>
  <si>
    <t>-31,2</t>
  </si>
  <si>
    <t>-13,2</t>
  </si>
  <si>
    <t>-7,4</t>
  </si>
  <si>
    <t>-53,6</t>
  </si>
  <si>
    <t>-3,8</t>
  </si>
  <si>
    <t>Systèmes d'information des ministères chargés de l'Éducation nationale,  et de la Mer. Traitement SIES-MESRI.</t>
  </si>
  <si>
    <t>Source : systèmes d'information des ministères chargés de l'Éducation Nationale,  et de la Mer. Traitement SIES-MESR.</t>
  </si>
  <si>
    <t>Métiers de la sécurité</t>
  </si>
  <si>
    <t>6.04 Les sections de techniciens supérieurs et assimilés</t>
  </si>
  <si>
    <t xml:space="preserve">DEPP, Système d’information Scolarité et enquête n° 16 traitement SIES-MESR.
</t>
  </si>
  <si>
    <t>DPSA, RSC 2024</t>
  </si>
  <si>
    <t>Effectif d'entrants 2024-2025</t>
  </si>
  <si>
    <t>2024-2025</t>
  </si>
  <si>
    <r>
      <t>Population concernée</t>
    </r>
    <r>
      <rPr>
        <sz val="8"/>
        <rFont val="Arial"/>
        <family val="2"/>
      </rPr>
      <t xml:space="preserve"> - Les étudiants sous statut scolaire des établissements publics, privés sous contrat et privés hors contrat, en France métropolitaine et dans les départements et régions d’outre-mer.</t>
    </r>
  </si>
  <si>
    <r>
      <t>Section de technicien supérieur (STS), brevet de technicien supérieur (BTS), classe de mise à niveau pour le BTS, classe passerelle, DN MADE</t>
    </r>
    <r>
      <rPr>
        <sz val="8"/>
        <rFont val="Arial"/>
        <family val="2"/>
      </rPr>
      <t xml:space="preserve"> - Voir « Glossaire ».</t>
    </r>
  </si>
  <si>
    <r>
      <t xml:space="preserve">- Note Flash </t>
    </r>
    <r>
      <rPr>
        <sz val="8"/>
        <rFont val="Arial"/>
        <family val="2"/>
      </rPr>
      <t>du SIES : 20.02.</t>
    </r>
  </si>
  <si>
    <t>[5] Répartition des étudiants de 1ère année selon la catégorie socioprofessionnelle de leur parent référent</t>
  </si>
  <si>
    <t>Colonne1</t>
  </si>
  <si>
    <t xml:space="preserve">Système d’information Scolarité et enquête n° 16 auprès des établissements privés hors contrat, traitement SIES-MESR.
</t>
  </si>
  <si>
    <t>Évolution annuelle en % (1)</t>
  </si>
  <si>
    <t>Évolution annuelle en %  (2)</t>
  </si>
  <si>
    <t xml:space="preserve">[1] Évolution des effectifs d'étudiants en STS, classes de mise à niveau et DTS </t>
  </si>
  <si>
    <t>[3] Effectifs des étudiants inscrits en STS et assimilés selon la catégorie de spécialité, entre 2016 et 2025</t>
  </si>
  <si>
    <t xml:space="preserve">[4] Origine scolaire des nouveaux entrants en première année de STS, classes de mise à niveau pour BTS, DTS 2024-2025 </t>
  </si>
  <si>
    <t>2025-2026</t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</si>
  <si>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à la rentrée 2025, 283 étudiants sont inscrits en STS (et assimilés) dans un établissement public. Cet effectif est en hausse de 4,8% par rapport à celui de 2024. Il représente 62,5 % de l'effectif total des STS (et assimilés) de 2025.</t>
    </r>
  </si>
  <si>
    <t>Effectifs 2024-2023</t>
  </si>
  <si>
    <t>[2] Les étudiants inscrits en STS, classes de mise à niveau pour BTS, DTS par spécialité de formation en 2025-2026</t>
  </si>
  <si>
    <t>Effectifs 2025-2026</t>
  </si>
  <si>
    <t>Santé</t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</si>
  <si>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68,7% des étudiants en STS, classes de mise à niveau pour BTS, DTS sont inscrits dans le secteur des services. Les femmes représentent 53,4 % des étudiants formés dans ce secteur.</t>
    </r>
  </si>
  <si>
    <t>Effectif d'entrants 2025-2026</t>
  </si>
  <si>
    <t>Lecture : en 2025, 32,2 % des étudiants entrant en STS dans le domaine des services ont obtenu un baccalauréat professionnel. Entre les rentrées 2024 et 2025, l'effectif des entrants en STS du domaine des services a diminué de 3,8 %.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</si>
</sst>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€_-;\-* #,##0.00\ _€_-;_-* &quot;-&quot;??\ _€_-;_-@_-"/>
    <numFmt numFmtId="165" formatCode="0.0"/>
    <numFmt numFmtId="166" formatCode="#,##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0.0%"/>
    <numFmt numFmtId="172" formatCode="[$-F800]dddd\,\ mmmm\ dd\,\ yyyy"/>
    <numFmt numFmtId="173" formatCode="_-* #,##0\ _€_-;\-* #,##0\ _€_-;_-* &quot;-&quot;??\ _€_-;_-@_-"/>
    <numFmt numFmtId="174" formatCode="\+0.0;\-0.0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color indexed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A7D0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0"/>
      <name val="Arial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F2F2F2"/>
      </patternFill>
    </fill>
  </fills>
  <borders count="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8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0" applyNumberFormat="0" applyBorder="0" applyAlignment="0" applyProtection="0"/>
    <xf numFmtId="0" fontId="3" fillId="16" borderId="1"/>
    <xf numFmtId="0" fontId="20" fillId="17" borderId="2" applyNumberFormat="0" applyAlignment="0" applyProtection="0"/>
    <xf numFmtId="0" fontId="3" fillId="0" borderId="3"/>
    <xf numFmtId="0" fontId="16" fillId="18" borderId="5" applyNumberFormat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1" fillId="20" borderId="0">
      <alignment horizontal="center" wrapText="1"/>
    </xf>
    <xf numFmtId="0" fontId="6" fillId="19" borderId="0">
      <alignment horizontal="center"/>
    </xf>
    <xf numFmtId="167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14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2" fillId="20" borderId="0">
      <alignment horizontal="center"/>
    </xf>
    <xf numFmtId="0" fontId="3" fillId="19" borderId="9">
      <alignment wrapText="1"/>
    </xf>
    <xf numFmtId="0" fontId="34" fillId="19" borderId="10"/>
    <xf numFmtId="0" fontId="34" fillId="19" borderId="11"/>
    <xf numFmtId="0" fontId="3" fillId="19" borderId="12">
      <alignment horizontal="center" wrapText="1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1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44" fillId="0" borderId="0"/>
    <xf numFmtId="0" fontId="1" fillId="0" borderId="0"/>
    <xf numFmtId="0" fontId="17" fillId="0" borderId="0"/>
    <xf numFmtId="0" fontId="1" fillId="0" borderId="0"/>
    <xf numFmtId="0" fontId="44" fillId="0" borderId="0"/>
    <xf numFmtId="0" fontId="17" fillId="0" borderId="0"/>
    <xf numFmtId="0" fontId="1" fillId="0" borderId="0"/>
    <xf numFmtId="0" fontId="8" fillId="0" borderId="0"/>
    <xf numFmtId="0" fontId="38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19" borderId="3"/>
    <xf numFmtId="0" fontId="22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1" fillId="19" borderId="0">
      <alignment horizontal="center"/>
    </xf>
    <xf numFmtId="0" fontId="15" fillId="0" borderId="0" applyNumberFormat="0" applyFill="0" applyBorder="0" applyAlignment="0" applyProtection="0"/>
    <xf numFmtId="0" fontId="10" fillId="19" borderId="0"/>
    <xf numFmtId="0" fontId="43" fillId="0" borderId="0" applyNumberFormat="0" applyFill="0" applyBorder="0" applyAlignment="0" applyProtection="0"/>
    <xf numFmtId="0" fontId="47" fillId="25" borderId="20" applyNumberFormat="0" applyAlignment="0" applyProtection="0"/>
    <xf numFmtId="9" fontId="48" fillId="0" borderId="0" applyFont="0" applyFill="0" applyBorder="0" applyAlignment="0" applyProtection="0"/>
    <xf numFmtId="0" fontId="49" fillId="0" borderId="21" applyNumberFormat="0" applyFill="0" applyAlignment="0" applyProtection="0"/>
    <xf numFmtId="164" fontId="1" fillId="0" borderId="0" applyFont="0" applyFill="0" applyBorder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</cellStyleXfs>
  <cellXfs count="179">
    <xf numFmtId="0" fontId="0" fillId="0" borderId="0" xfId="0"/>
    <xf numFmtId="0" fontId="9" fillId="0" borderId="0" xfId="63" applyFont="1" applyFill="1" applyAlignment="1">
      <alignment vertical="center"/>
    </xf>
    <xf numFmtId="0" fontId="3" fillId="0" borderId="0" xfId="63" applyFont="1" applyFill="1" applyBorder="1" applyAlignment="1">
      <alignment horizontal="right" vertical="center"/>
    </xf>
    <xf numFmtId="0" fontId="3" fillId="0" borderId="0" xfId="63" applyFont="1" applyFill="1" applyAlignment="1">
      <alignment vertical="center"/>
    </xf>
    <xf numFmtId="3" fontId="3" fillId="0" borderId="0" xfId="63" applyNumberFormat="1" applyFont="1" applyFill="1" applyBorder="1" applyAlignment="1">
      <alignment vertical="center"/>
    </xf>
    <xf numFmtId="165" fontId="3" fillId="0" borderId="0" xfId="63" applyNumberFormat="1" applyFont="1" applyFill="1" applyBorder="1" applyAlignment="1">
      <alignment vertical="center"/>
    </xf>
    <xf numFmtId="0" fontId="3" fillId="0" borderId="0" xfId="63" applyFont="1" applyFill="1" applyBorder="1" applyAlignment="1">
      <alignment vertical="center"/>
    </xf>
    <xf numFmtId="0" fontId="9" fillId="0" borderId="0" xfId="63" applyFont="1" applyFill="1" applyBorder="1" applyAlignment="1">
      <alignment vertical="center"/>
    </xf>
    <xf numFmtId="0" fontId="3" fillId="0" borderId="0" xfId="63" applyFont="1" applyFill="1" applyBorder="1" applyAlignment="1">
      <alignment vertical="center" wrapText="1"/>
    </xf>
    <xf numFmtId="3" fontId="3" fillId="0" borderId="16" xfId="63" applyNumberFormat="1" applyFont="1" applyFill="1" applyBorder="1" applyAlignment="1">
      <alignment vertical="center" wrapText="1"/>
    </xf>
    <xf numFmtId="0" fontId="3" fillId="0" borderId="0" xfId="64" quotePrefix="1" applyFont="1" applyFill="1" applyBorder="1" applyAlignment="1">
      <alignment vertical="center"/>
    </xf>
    <xf numFmtId="0" fontId="7" fillId="0" borderId="0" xfId="60" applyFont="1"/>
    <xf numFmtId="0" fontId="1" fillId="0" borderId="0" xfId="58"/>
    <xf numFmtId="172" fontId="7" fillId="0" borderId="0" xfId="58" applyNumberFormat="1" applyFont="1" applyAlignment="1">
      <alignment horizontal="right" wrapText="1"/>
    </xf>
    <xf numFmtId="0" fontId="7" fillId="0" borderId="0" xfId="58" applyFont="1"/>
    <xf numFmtId="0" fontId="1" fillId="0" borderId="0" xfId="58" applyFont="1"/>
    <xf numFmtId="0" fontId="4" fillId="0" borderId="0" xfId="58" applyFont="1" applyAlignment="1">
      <alignment wrapText="1"/>
    </xf>
    <xf numFmtId="0" fontId="3" fillId="0" borderId="0" xfId="58" applyFont="1" applyAlignment="1">
      <alignment wrapText="1"/>
    </xf>
    <xf numFmtId="0" fontId="3" fillId="0" borderId="0" xfId="58" applyFont="1"/>
    <xf numFmtId="0" fontId="4" fillId="0" borderId="0" xfId="63" applyFont="1" applyFill="1" applyAlignment="1">
      <alignment horizontal="left" vertical="center"/>
    </xf>
    <xf numFmtId="0" fontId="3" fillId="0" borderId="0" xfId="63" applyFont="1" applyFill="1" applyAlignment="1">
      <alignment horizontal="left" vertical="center"/>
    </xf>
    <xf numFmtId="0" fontId="3" fillId="0" borderId="0" xfId="63" applyFont="1" applyFill="1" applyBorder="1" applyAlignment="1">
      <alignment horizontal="left" vertical="center" wrapText="1"/>
    </xf>
    <xf numFmtId="165" fontId="3" fillId="0" borderId="16" xfId="63" applyNumberFormat="1" applyFont="1" applyFill="1" applyBorder="1" applyAlignment="1">
      <alignment vertical="center" wrapText="1"/>
    </xf>
    <xf numFmtId="0" fontId="7" fillId="0" borderId="0" xfId="63" applyFont="1" applyFill="1" applyAlignment="1">
      <alignment vertical="center"/>
    </xf>
    <xf numFmtId="0" fontId="1" fillId="0" borderId="0" xfId="63" applyFont="1" applyFill="1" applyAlignment="1">
      <alignment vertical="center"/>
    </xf>
    <xf numFmtId="0" fontId="10" fillId="0" borderId="0" xfId="63" applyFont="1" applyFill="1" applyBorder="1" applyAlignment="1">
      <alignment horizontal="left" vertical="center" wrapText="1"/>
    </xf>
    <xf numFmtId="0" fontId="1" fillId="0" borderId="0" xfId="63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4" fillId="0" borderId="0" xfId="63" applyFont="1" applyFill="1" applyAlignment="1">
      <alignment vertical="center"/>
    </xf>
    <xf numFmtId="0" fontId="1" fillId="0" borderId="0" xfId="63" applyFont="1" applyFill="1" applyAlignment="1">
      <alignment horizontal="left" vertical="center" wrapText="1"/>
    </xf>
    <xf numFmtId="171" fontId="1" fillId="0" borderId="0" xfId="82" applyNumberFormat="1" applyFont="1" applyFill="1" applyAlignment="1">
      <alignment vertical="center"/>
    </xf>
    <xf numFmtId="0" fontId="10" fillId="0" borderId="0" xfId="63" applyFont="1" applyFill="1" applyBorder="1" applyAlignment="1">
      <alignment vertical="center" wrapText="1"/>
    </xf>
    <xf numFmtId="3" fontId="1" fillId="0" borderId="0" xfId="63" applyNumberFormat="1" applyFont="1" applyFill="1" applyAlignment="1">
      <alignment vertical="center"/>
    </xf>
    <xf numFmtId="14" fontId="7" fillId="0" borderId="0" xfId="58" applyNumberFormat="1" applyFont="1" applyAlignment="1">
      <alignment horizontal="right" wrapText="1"/>
    </xf>
    <xf numFmtId="0" fontId="49" fillId="0" borderId="21" xfId="83"/>
    <xf numFmtId="0" fontId="1" fillId="0" borderId="0" xfId="60" applyFont="1" applyAlignment="1">
      <alignment horizontal="left" vertical="center" wrapText="1"/>
    </xf>
    <xf numFmtId="0" fontId="46" fillId="0" borderId="0" xfId="50" applyAlignment="1">
      <alignment vertical="center" wrapText="1"/>
    </xf>
    <xf numFmtId="0" fontId="3" fillId="0" borderId="0" xfId="0" applyFont="1" applyAlignment="1">
      <alignment horizontal="right" vertical="center"/>
    </xf>
    <xf numFmtId="3" fontId="0" fillId="0" borderId="0" xfId="0" applyNumberFormat="1"/>
    <xf numFmtId="0" fontId="3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Fill="1" applyAlignment="1">
      <alignment wrapText="1"/>
    </xf>
    <xf numFmtId="3" fontId="3" fillId="0" borderId="0" xfId="0" applyNumberFormat="1" applyFont="1"/>
    <xf numFmtId="0" fontId="3" fillId="0" borderId="0" xfId="0" applyFont="1" applyBorder="1"/>
    <xf numFmtId="3" fontId="3" fillId="0" borderId="0" xfId="0" applyNumberFormat="1" applyFont="1" applyBorder="1"/>
    <xf numFmtId="0" fontId="10" fillId="0" borderId="11" xfId="0" applyFont="1" applyFill="1" applyBorder="1"/>
    <xf numFmtId="0" fontId="10" fillId="0" borderId="11" xfId="0" applyFont="1" applyFill="1" applyBorder="1" applyAlignment="1">
      <alignment horizontal="left" vertical="center" wrapText="1"/>
    </xf>
    <xf numFmtId="0" fontId="50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center" wrapText="1"/>
    </xf>
    <xf numFmtId="173" fontId="10" fillId="0" borderId="0" xfId="84" applyNumberFormat="1" applyFont="1" applyFill="1" applyBorder="1" applyAlignment="1">
      <alignment horizontal="right" vertical="center" wrapText="1"/>
    </xf>
    <xf numFmtId="166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/>
    </xf>
    <xf numFmtId="173" fontId="3" fillId="0" borderId="22" xfId="84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3" fillId="0" borderId="0" xfId="63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5" fillId="0" borderId="0" xfId="63" applyFont="1" applyFill="1" applyAlignment="1">
      <alignment vertical="center"/>
    </xf>
    <xf numFmtId="0" fontId="11" fillId="0" borderId="0" xfId="63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58" applyFont="1" applyFill="1" applyAlignment="1">
      <alignment vertical="center" wrapText="1"/>
    </xf>
    <xf numFmtId="0" fontId="2" fillId="0" borderId="0" xfId="58" applyFont="1" applyFill="1" applyAlignment="1">
      <alignment vertical="center"/>
    </xf>
    <xf numFmtId="0" fontId="10" fillId="0" borderId="0" xfId="58" applyFont="1" applyAlignment="1">
      <alignment horizontal="justify" vertical="center" wrapText="1"/>
    </xf>
    <xf numFmtId="0" fontId="2" fillId="0" borderId="0" xfId="58" applyFont="1" applyAlignment="1">
      <alignment horizontal="justify" vertical="center" wrapText="1"/>
    </xf>
    <xf numFmtId="0" fontId="11" fillId="0" borderId="0" xfId="58" applyFont="1" applyAlignment="1">
      <alignment vertical="center" wrapText="1"/>
    </xf>
    <xf numFmtId="0" fontId="2" fillId="0" borderId="0" xfId="58" applyFont="1" applyAlignment="1">
      <alignment vertical="center" wrapText="1"/>
    </xf>
    <xf numFmtId="0" fontId="3" fillId="0" borderId="0" xfId="58" applyFont="1" applyAlignment="1">
      <alignment vertical="center" wrapText="1"/>
    </xf>
    <xf numFmtId="0" fontId="51" fillId="0" borderId="26" xfId="85" applyAlignment="1">
      <alignment vertical="center" wrapText="1"/>
    </xf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50" fillId="0" borderId="0" xfId="0" applyFont="1" applyAlignment="1"/>
    <xf numFmtId="165" fontId="3" fillId="0" borderId="0" xfId="0" applyNumberFormat="1" applyFont="1" applyAlignment="1">
      <alignment vertical="center"/>
    </xf>
    <xf numFmtId="0" fontId="51" fillId="0" borderId="26" xfId="85" applyFill="1" applyAlignment="1">
      <alignment vertical="center"/>
    </xf>
    <xf numFmtId="0" fontId="51" fillId="0" borderId="26" xfId="85" applyAlignment="1">
      <alignment vertical="center"/>
    </xf>
    <xf numFmtId="0" fontId="10" fillId="0" borderId="0" xfId="64" applyFont="1" applyFill="1" applyBorder="1" applyAlignment="1">
      <alignment vertical="center"/>
    </xf>
    <xf numFmtId="0" fontId="1" fillId="0" borderId="0" xfId="63" applyFont="1" applyFill="1" applyBorder="1" applyAlignment="1">
      <alignment vertical="center"/>
    </xf>
    <xf numFmtId="165" fontId="3" fillId="0" borderId="0" xfId="63" quotePrefix="1" applyNumberFormat="1" applyFont="1" applyFill="1" applyBorder="1" applyAlignment="1">
      <alignment horizontal="right" vertical="center" wrapText="1"/>
    </xf>
    <xf numFmtId="165" fontId="3" fillId="0" borderId="0" xfId="63" applyNumberFormat="1" applyFont="1" applyFill="1" applyBorder="1" applyAlignment="1">
      <alignment horizontal="right" vertical="center" wrapText="1"/>
    </xf>
    <xf numFmtId="0" fontId="10" fillId="0" borderId="28" xfId="63" applyFont="1" applyFill="1" applyBorder="1" applyAlignment="1">
      <alignment vertical="center" wrapText="1"/>
    </xf>
    <xf numFmtId="0" fontId="53" fillId="0" borderId="11" xfId="63" applyFont="1" applyFill="1" applyBorder="1" applyAlignment="1">
      <alignment vertical="center"/>
    </xf>
    <xf numFmtId="0" fontId="10" fillId="0" borderId="24" xfId="63" applyFont="1" applyFill="1" applyBorder="1" applyAlignment="1">
      <alignment horizontal="right" vertical="center" wrapText="1"/>
    </xf>
    <xf numFmtId="174" fontId="11" fillId="0" borderId="16" xfId="63" quotePrefix="1" applyNumberFormat="1" applyFont="1" applyFill="1" applyBorder="1" applyAlignment="1">
      <alignment horizontal="right" vertical="center"/>
    </xf>
    <xf numFmtId="174" fontId="11" fillId="0" borderId="16" xfId="63" applyNumberFormat="1" applyFont="1" applyFill="1" applyBorder="1" applyAlignment="1">
      <alignment horizontal="right" vertical="center"/>
    </xf>
    <xf numFmtId="3" fontId="10" fillId="0" borderId="16" xfId="63" applyNumberFormat="1" applyFont="1" applyFill="1" applyBorder="1" applyAlignment="1">
      <alignment horizontal="right" vertical="center" wrapText="1"/>
    </xf>
    <xf numFmtId="0" fontId="10" fillId="0" borderId="0" xfId="63" applyFont="1" applyFill="1" applyAlignment="1">
      <alignment horizontal="right" vertical="center"/>
    </xf>
    <xf numFmtId="174" fontId="11" fillId="0" borderId="0" xfId="63" applyNumberFormat="1" applyFont="1" applyFill="1" applyAlignment="1">
      <alignment horizontal="right" vertical="center"/>
    </xf>
    <xf numFmtId="174" fontId="11" fillId="0" borderId="16" xfId="63" applyNumberFormat="1" applyFont="1" applyFill="1" applyBorder="1" applyAlignment="1">
      <alignment horizontal="right" vertical="center" wrapText="1"/>
    </xf>
    <xf numFmtId="1" fontId="10" fillId="0" borderId="0" xfId="63" applyNumberFormat="1" applyFont="1" applyFill="1" applyAlignment="1">
      <alignment horizontal="right" vertical="center"/>
    </xf>
    <xf numFmtId="3" fontId="10" fillId="0" borderId="29" xfId="63" applyNumberFormat="1" applyFont="1" applyFill="1" applyBorder="1" applyAlignment="1">
      <alignment horizontal="right" vertical="center" wrapText="1"/>
    </xf>
    <xf numFmtId="1" fontId="10" fillId="0" borderId="28" xfId="63" applyNumberFormat="1" applyFont="1" applyFill="1" applyBorder="1" applyAlignment="1">
      <alignment horizontal="right" vertical="center"/>
    </xf>
    <xf numFmtId="0" fontId="52" fillId="0" borderId="0" xfId="86" applyFill="1" applyBorder="1" applyAlignment="1">
      <alignment vertical="center"/>
    </xf>
    <xf numFmtId="0" fontId="52" fillId="0" borderId="0" xfId="86" applyFill="1" applyBorder="1" applyAlignment="1">
      <alignment horizontal="left" vertical="center"/>
    </xf>
    <xf numFmtId="0" fontId="52" fillId="0" borderId="0" xfId="86" applyBorder="1" applyAlignment="1">
      <alignment horizontal="left" vertical="center"/>
    </xf>
    <xf numFmtId="165" fontId="11" fillId="0" borderId="22" xfId="0" applyNumberFormat="1" applyFont="1" applyFill="1" applyBorder="1" applyAlignment="1">
      <alignment horizontal="right" vertical="center" wrapText="1"/>
    </xf>
    <xf numFmtId="165" fontId="11" fillId="0" borderId="22" xfId="0" applyNumberFormat="1" applyFont="1" applyFill="1" applyBorder="1" applyAlignment="1">
      <alignment vertical="center"/>
    </xf>
    <xf numFmtId="174" fontId="11" fillId="0" borderId="22" xfId="0" applyNumberFormat="1" applyFont="1" applyFill="1" applyBorder="1" applyAlignment="1">
      <alignment horizontal="right" vertical="center" wrapText="1"/>
    </xf>
    <xf numFmtId="174" fontId="11" fillId="0" borderId="22" xfId="0" applyNumberFormat="1" applyFont="1" applyFill="1" applyBorder="1" applyAlignment="1">
      <alignment vertical="center"/>
    </xf>
    <xf numFmtId="173" fontId="10" fillId="0" borderId="29" xfId="84" applyNumberFormat="1" applyFont="1" applyFill="1" applyBorder="1" applyAlignment="1">
      <alignment horizontal="right" vertical="center" wrapText="1"/>
    </xf>
    <xf numFmtId="174" fontId="12" fillId="0" borderId="29" xfId="0" applyNumberFormat="1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174" fontId="12" fillId="0" borderId="22" xfId="0" applyNumberFormat="1" applyFont="1" applyFill="1" applyBorder="1" applyAlignment="1">
      <alignment vertical="center"/>
    </xf>
    <xf numFmtId="165" fontId="12" fillId="0" borderId="22" xfId="0" applyNumberFormat="1" applyFont="1" applyFill="1" applyBorder="1" applyAlignment="1">
      <alignment vertical="center"/>
    </xf>
    <xf numFmtId="165" fontId="12" fillId="0" borderId="29" xfId="0" applyNumberFormat="1" applyFont="1" applyFill="1" applyBorder="1" applyAlignment="1">
      <alignment horizontal="right" vertical="center" wrapText="1"/>
    </xf>
    <xf numFmtId="166" fontId="11" fillId="0" borderId="22" xfId="0" applyNumberFormat="1" applyFont="1" applyFill="1" applyBorder="1" applyAlignment="1">
      <alignment horizontal="right" vertical="center" wrapText="1"/>
    </xf>
    <xf numFmtId="166" fontId="12" fillId="0" borderId="22" xfId="0" applyNumberFormat="1" applyFont="1" applyFill="1" applyBorder="1" applyAlignment="1">
      <alignment vertical="center"/>
    </xf>
    <xf numFmtId="166" fontId="12" fillId="0" borderId="29" xfId="0" applyNumberFormat="1" applyFont="1" applyFill="1" applyBorder="1" applyAlignment="1">
      <alignment horizontal="right" vertical="center" wrapText="1"/>
    </xf>
    <xf numFmtId="3" fontId="10" fillId="0" borderId="24" xfId="0" applyNumberFormat="1" applyFont="1" applyFill="1" applyBorder="1" applyAlignment="1">
      <alignment horizontal="right" vertical="center" wrapText="1"/>
    </xf>
    <xf numFmtId="3" fontId="12" fillId="0" borderId="24" xfId="0" applyNumberFormat="1" applyFont="1" applyFill="1" applyBorder="1" applyAlignment="1">
      <alignment horizontal="right" vertical="center" wrapText="1"/>
    </xf>
    <xf numFmtId="174" fontId="12" fillId="0" borderId="24" xfId="0" applyNumberFormat="1" applyFont="1" applyFill="1" applyBorder="1" applyAlignment="1">
      <alignment horizontal="right" vertical="center" wrapText="1"/>
    </xf>
    <xf numFmtId="165" fontId="10" fillId="0" borderId="0" xfId="63" applyNumberFormat="1" applyFont="1" applyFill="1" applyBorder="1" applyAlignment="1">
      <alignment vertical="center" wrapText="1"/>
    </xf>
    <xf numFmtId="3" fontId="10" fillId="0" borderId="0" xfId="63" applyNumberFormat="1" applyFont="1" applyFill="1" applyBorder="1" applyAlignment="1">
      <alignment vertical="center" wrapText="1"/>
    </xf>
    <xf numFmtId="166" fontId="3" fillId="0" borderId="0" xfId="63" applyNumberFormat="1" applyFont="1" applyFill="1" applyBorder="1" applyAlignment="1">
      <alignment vertical="center"/>
    </xf>
    <xf numFmtId="0" fontId="10" fillId="0" borderId="28" xfId="63" applyFont="1" applyFill="1" applyBorder="1" applyAlignment="1">
      <alignment horizontal="left" vertical="center" wrapText="1"/>
    </xf>
    <xf numFmtId="165" fontId="10" fillId="0" borderId="28" xfId="63" applyNumberFormat="1" applyFont="1" applyFill="1" applyBorder="1" applyAlignment="1">
      <alignment vertical="center" wrapText="1"/>
    </xf>
    <xf numFmtId="3" fontId="10" fillId="0" borderId="28" xfId="63" applyNumberFormat="1" applyFont="1" applyFill="1" applyBorder="1" applyAlignment="1">
      <alignment vertical="center" wrapText="1"/>
    </xf>
    <xf numFmtId="174" fontId="11" fillId="0" borderId="16" xfId="63" applyNumberFormat="1" applyFont="1" applyFill="1" applyBorder="1" applyAlignment="1">
      <alignment vertical="center"/>
    </xf>
    <xf numFmtId="174" fontId="11" fillId="0" borderId="16" xfId="63" quotePrefix="1" applyNumberFormat="1" applyFont="1" applyFill="1" applyBorder="1" applyAlignment="1">
      <alignment horizontal="right" vertical="center" wrapText="1"/>
    </xf>
    <xf numFmtId="174" fontId="11" fillId="0" borderId="28" xfId="63" quotePrefix="1" applyNumberFormat="1" applyFont="1" applyFill="1" applyBorder="1" applyAlignment="1">
      <alignment horizontal="right" vertical="center" wrapText="1"/>
    </xf>
    <xf numFmtId="166" fontId="3" fillId="0" borderId="18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/>
    </xf>
    <xf numFmtId="166" fontId="3" fillId="0" borderId="18" xfId="0" applyNumberFormat="1" applyFont="1" applyFill="1" applyBorder="1" applyAlignment="1">
      <alignment vertical="center"/>
    </xf>
    <xf numFmtId="0" fontId="10" fillId="0" borderId="32" xfId="0" applyFont="1" applyFill="1" applyBorder="1" applyAlignment="1">
      <alignment horizontal="right" vertical="center" wrapText="1"/>
    </xf>
    <xf numFmtId="0" fontId="10" fillId="0" borderId="32" xfId="0" applyNumberFormat="1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horizontal="left" vertical="center" wrapText="1"/>
    </xf>
    <xf numFmtId="166" fontId="10" fillId="0" borderId="33" xfId="0" applyNumberFormat="1" applyFont="1" applyFill="1" applyBorder="1" applyAlignment="1">
      <alignment vertical="center" wrapText="1"/>
    </xf>
    <xf numFmtId="166" fontId="10" fillId="0" borderId="0" xfId="0" applyNumberFormat="1" applyFont="1" applyFill="1" applyBorder="1" applyAlignment="1">
      <alignment vertical="center" wrapText="1"/>
    </xf>
    <xf numFmtId="0" fontId="10" fillId="0" borderId="24" xfId="63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63" applyFont="1" applyFill="1" applyBorder="1" applyAlignment="1">
      <alignment horizontal="left" vertical="center" wrapText="1"/>
    </xf>
    <xf numFmtId="0" fontId="52" fillId="0" borderId="0" xfId="86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10" fillId="0" borderId="0" xfId="0" applyFont="1" applyAlignment="1">
      <alignment vertical="center"/>
    </xf>
    <xf numFmtId="0" fontId="52" fillId="0" borderId="0" xfId="86" applyFill="1" applyBorder="1" applyAlignment="1">
      <alignment horizontal="left" vertical="center"/>
    </xf>
    <xf numFmtId="0" fontId="4" fillId="0" borderId="0" xfId="63" applyFont="1" applyFill="1" applyAlignment="1">
      <alignment horizontal="left" vertical="center"/>
    </xf>
    <xf numFmtId="0" fontId="10" fillId="0" borderId="19" xfId="63" applyFont="1" applyFill="1" applyBorder="1" applyAlignment="1">
      <alignment horizontal="right" vertical="center" wrapText="1"/>
    </xf>
    <xf numFmtId="0" fontId="10" fillId="0" borderId="31" xfId="63" applyFont="1" applyFill="1" applyBorder="1" applyAlignment="1">
      <alignment horizontal="right" vertical="center" wrapText="1"/>
    </xf>
    <xf numFmtId="0" fontId="12" fillId="0" borderId="16" xfId="63" applyFont="1" applyFill="1" applyBorder="1" applyAlignment="1">
      <alignment horizontal="right" vertical="center" wrapText="1"/>
    </xf>
    <xf numFmtId="0" fontId="12" fillId="0" borderId="24" xfId="63" applyFont="1" applyFill="1" applyBorder="1" applyAlignment="1">
      <alignment horizontal="right" vertical="center" wrapText="1"/>
    </xf>
    <xf numFmtId="165" fontId="3" fillId="0" borderId="0" xfId="63" quotePrefix="1" applyNumberFormat="1" applyFont="1" applyFill="1" applyAlignment="1">
      <alignment horizontal="left" vertical="center" wrapText="1"/>
    </xf>
    <xf numFmtId="0" fontId="3" fillId="0" borderId="0" xfId="63" applyFont="1" applyFill="1" applyAlignment="1">
      <alignment horizontal="left" vertical="center" wrapText="1"/>
    </xf>
    <xf numFmtId="0" fontId="11" fillId="0" borderId="0" xfId="63" applyFont="1" applyFill="1" applyAlignment="1">
      <alignment horizontal="left" vertical="center" wrapText="1"/>
    </xf>
    <xf numFmtId="0" fontId="10" fillId="0" borderId="16" xfId="63" applyFont="1" applyFill="1" applyBorder="1" applyAlignment="1">
      <alignment horizontal="right" vertical="center" wrapText="1"/>
    </xf>
    <xf numFmtId="0" fontId="10" fillId="0" borderId="24" xfId="63" applyFont="1" applyFill="1" applyBorder="1" applyAlignment="1">
      <alignment horizontal="right" vertical="center" wrapText="1"/>
    </xf>
    <xf numFmtId="0" fontId="10" fillId="0" borderId="0" xfId="64" applyFont="1" applyBorder="1" applyAlignment="1">
      <alignment horizontal="left" vertical="center"/>
    </xf>
    <xf numFmtId="0" fontId="10" fillId="0" borderId="17" xfId="63" applyFont="1" applyFill="1" applyBorder="1" applyAlignment="1">
      <alignment horizontal="left" vertical="center" wrapText="1"/>
    </xf>
    <xf numFmtId="0" fontId="10" fillId="0" borderId="25" xfId="63" applyFont="1" applyFill="1" applyBorder="1" applyAlignment="1">
      <alignment horizontal="left" vertical="center" wrapText="1"/>
    </xf>
    <xf numFmtId="0" fontId="10" fillId="0" borderId="24" xfId="63" applyFont="1" applyFill="1" applyBorder="1" applyAlignment="1">
      <alignment horizontal="center" vertical="center" wrapText="1"/>
    </xf>
    <xf numFmtId="0" fontId="3" fillId="0" borderId="0" xfId="0" quotePrefix="1" applyFont="1" applyFill="1" applyAlignment="1">
      <alignment vertical="center" wrapText="1"/>
    </xf>
    <xf numFmtId="174" fontId="11" fillId="0" borderId="0" xfId="63" applyNumberFormat="1" applyFont="1" applyFill="1" applyBorder="1" applyAlignment="1">
      <alignment horizontal="right" vertical="center" wrapText="1"/>
    </xf>
    <xf numFmtId="1" fontId="10" fillId="0" borderId="0" xfId="63" applyNumberFormat="1" applyFont="1" applyFill="1" applyBorder="1" applyAlignment="1">
      <alignment horizontal="right" vertical="center"/>
    </xf>
    <xf numFmtId="0" fontId="54" fillId="0" borderId="0" xfId="63" applyFont="1" applyFill="1" applyAlignment="1">
      <alignment vertical="center" wrapText="1"/>
    </xf>
    <xf numFmtId="165" fontId="10" fillId="0" borderId="0" xfId="63" applyNumberFormat="1" applyFont="1" applyFill="1" applyBorder="1" applyAlignment="1">
      <alignment horizontal="right" vertical="center"/>
    </xf>
  </cellXfs>
  <cellStyles count="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" xfId="81" builtinId="22" customBuiltin="1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Milliers 2" xfId="54"/>
    <cellStyle name="Milliers 3" xfId="8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Tableaux" xfId="64"/>
    <cellStyle name="Output" xfId="65"/>
    <cellStyle name="Percent 2" xfId="66"/>
    <cellStyle name="Percent_1 SubOverv.USd" xfId="67"/>
    <cellStyle name="Pourcentage" xfId="82" builtinId="5"/>
    <cellStyle name="Pourcentage 2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Titre 1" xfId="83" builtinId="16"/>
    <cellStyle name="Titre 2" xfId="85" builtinId="17"/>
    <cellStyle name="Titre 3" xfId="86" builtinId="18"/>
    <cellStyle name="Warning Text" xfId="80"/>
  </cellStyles>
  <dxfs count="11"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'6.04 Tableau 3'!$A$3</c:f>
          <c:strCache>
            <c:ptCount val="1"/>
            <c:pt idx="0">
              <c:v>[3] Effectifs des étudiants inscrits en STS et assimilés selon la catégorie de spécialité, entre 2016 et 2025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437446912708723E-2"/>
          <c:y val="0.20370370370370369"/>
          <c:w val="0.92286535851559925"/>
          <c:h val="0.67500801983085446"/>
        </c:manualLayout>
      </c:layout>
      <c:lineChart>
        <c:grouping val="standard"/>
        <c:varyColors val="0"/>
        <c:ser>
          <c:idx val="2"/>
          <c:order val="0"/>
          <c:tx>
            <c:strRef>
              <c:f>'6.04 Tableau 3'!$A$7</c:f>
              <c:strCache>
                <c:ptCount val="1"/>
                <c:pt idx="0">
                  <c:v>Spécialité de la production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B13-4395-B61B-22B9692E6D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Tableau 3'!$B$6:$K$6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'6.04 Tableau 3'!$B$7:$K$7</c:f>
              <c:numCache>
                <c:formatCode>#,##0</c:formatCode>
                <c:ptCount val="10"/>
                <c:pt idx="0">
                  <c:v>120</c:v>
                </c:pt>
                <c:pt idx="1">
                  <c:v>101</c:v>
                </c:pt>
                <c:pt idx="2">
                  <c:v>125</c:v>
                </c:pt>
                <c:pt idx="3">
                  <c:v>105</c:v>
                </c:pt>
                <c:pt idx="4">
                  <c:v>110</c:v>
                </c:pt>
                <c:pt idx="5">
                  <c:v>115</c:v>
                </c:pt>
                <c:pt idx="6" formatCode="General">
                  <c:v>100</c:v>
                </c:pt>
                <c:pt idx="7" formatCode="General">
                  <c:v>121</c:v>
                </c:pt>
                <c:pt idx="8" formatCode="General">
                  <c:v>125</c:v>
                </c:pt>
                <c:pt idx="9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B13-4395-B61B-22B9692E6D59}"/>
            </c:ext>
          </c:extLst>
        </c:ser>
        <c:ser>
          <c:idx val="1"/>
          <c:order val="1"/>
          <c:tx>
            <c:strRef>
              <c:f>'6.04 Tableau 3'!$A$7</c:f>
              <c:strCache>
                <c:ptCount val="1"/>
                <c:pt idx="0">
                  <c:v>Spécialité de la production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'6.04 Tableau 3'!$B$6:$K$6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'6.04 Tableau 3'!$B$7:$K$7</c:f>
              <c:numCache>
                <c:formatCode>#,##0</c:formatCode>
                <c:ptCount val="10"/>
                <c:pt idx="0">
                  <c:v>120</c:v>
                </c:pt>
                <c:pt idx="1">
                  <c:v>101</c:v>
                </c:pt>
                <c:pt idx="2">
                  <c:v>125</c:v>
                </c:pt>
                <c:pt idx="3">
                  <c:v>105</c:v>
                </c:pt>
                <c:pt idx="4">
                  <c:v>110</c:v>
                </c:pt>
                <c:pt idx="5">
                  <c:v>115</c:v>
                </c:pt>
                <c:pt idx="6" formatCode="General">
                  <c:v>100</c:v>
                </c:pt>
                <c:pt idx="7" formatCode="General">
                  <c:v>121</c:v>
                </c:pt>
                <c:pt idx="8" formatCode="General">
                  <c:v>125</c:v>
                </c:pt>
                <c:pt idx="9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B13-4395-B61B-22B9692E6D59}"/>
            </c:ext>
          </c:extLst>
        </c:ser>
        <c:ser>
          <c:idx val="0"/>
          <c:order val="2"/>
          <c:tx>
            <c:strRef>
              <c:f>'6.04 Tableau 3'!$A$8</c:f>
              <c:strCache>
                <c:ptCount val="1"/>
                <c:pt idx="0">
                  <c:v>Spécialité des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AB13-4395-B61B-22B9692E6D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Tableau 3'!$B$6:$K$6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'6.04 Tableau 3'!$B$8:$K$8</c:f>
              <c:numCache>
                <c:formatCode>#,##0</c:formatCode>
                <c:ptCount val="10"/>
                <c:pt idx="0">
                  <c:v>319</c:v>
                </c:pt>
                <c:pt idx="1">
                  <c:v>306</c:v>
                </c:pt>
                <c:pt idx="2">
                  <c:v>346</c:v>
                </c:pt>
                <c:pt idx="3">
                  <c:v>370</c:v>
                </c:pt>
                <c:pt idx="4">
                  <c:v>367</c:v>
                </c:pt>
                <c:pt idx="5">
                  <c:v>368</c:v>
                </c:pt>
                <c:pt idx="6">
                  <c:v>303</c:v>
                </c:pt>
                <c:pt idx="7">
                  <c:v>341</c:v>
                </c:pt>
                <c:pt idx="8" formatCode="General">
                  <c:v>317</c:v>
                </c:pt>
                <c:pt idx="9" formatCode="General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B13-4395-B61B-22B9692E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719552"/>
        <c:axId val="113741824"/>
      </c:lineChart>
      <c:catAx>
        <c:axId val="11371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3741824"/>
        <c:crosses val="autoZero"/>
        <c:auto val="1"/>
        <c:lblAlgn val="ctr"/>
        <c:lblOffset val="100"/>
        <c:noMultiLvlLbl val="0"/>
      </c:catAx>
      <c:valAx>
        <c:axId val="113741824"/>
        <c:scaling>
          <c:orientation val="minMax"/>
          <c:max val="4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371955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'6.04 Graphique 5'!$A$3</c:f>
          <c:strCache>
            <c:ptCount val="1"/>
            <c:pt idx="0">
              <c:v>[5] Répartition des étudiants de 1ère année selon la catégorie socioprofessionnelle de leur parent référent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4793420065099537E-2"/>
          <c:y val="0.1583624452966331"/>
          <c:w val="0.94663458493254249"/>
          <c:h val="0.71482495081832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'6.04 Graphique 5'!$A$6</c:f>
              <c:strCache>
                <c:ptCount val="1"/>
                <c:pt idx="0">
                  <c:v>Agriculteurs exploitants, artisans, commerçants et chefs d'entreprise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5'!$B$6:$L$6</c:f>
              <c:numCache>
                <c:formatCode>#\ ##0.0</c:formatCode>
                <c:ptCount val="11"/>
                <c:pt idx="0">
                  <c:v>16.929133858267718</c:v>
                </c:pt>
                <c:pt idx="1">
                  <c:v>14.453125</c:v>
                </c:pt>
                <c:pt idx="2">
                  <c:v>12.217194570135746</c:v>
                </c:pt>
                <c:pt idx="3">
                  <c:v>15.857605177993527</c:v>
                </c:pt>
                <c:pt idx="4">
                  <c:v>15.523465703971121</c:v>
                </c:pt>
                <c:pt idx="5">
                  <c:v>17.434210526315788</c:v>
                </c:pt>
                <c:pt idx="6">
                  <c:v>17.803030303030305</c:v>
                </c:pt>
                <c:pt idx="7">
                  <c:v>21.259842519685041</c:v>
                </c:pt>
                <c:pt idx="8" formatCode="0.0">
                  <c:v>6.8493150684931505</c:v>
                </c:pt>
                <c:pt idx="9" formatCode="General">
                  <c:v>6.3</c:v>
                </c:pt>
                <c:pt idx="10" formatCode="General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0-4EE8-8A9A-87ADCF9612CD}"/>
            </c:ext>
          </c:extLst>
        </c:ser>
        <c:ser>
          <c:idx val="1"/>
          <c:order val="1"/>
          <c:tx>
            <c:strRef>
              <c:f>'6.04 Graphique 5'!$A$7</c:f>
              <c:strCache>
                <c:ptCount val="1"/>
                <c:pt idx="0">
                  <c:v>Cadres et professions intellectuelles supérieures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5'!$B$7:$L$7</c:f>
              <c:numCache>
                <c:formatCode>#\ ##0.0</c:formatCode>
                <c:ptCount val="11"/>
                <c:pt idx="0">
                  <c:v>9.0551181102362204</c:v>
                </c:pt>
                <c:pt idx="1">
                  <c:v>17.96875</c:v>
                </c:pt>
                <c:pt idx="2">
                  <c:v>10.859728506787331</c:v>
                </c:pt>
                <c:pt idx="3">
                  <c:v>13.592233009708737</c:v>
                </c:pt>
                <c:pt idx="4">
                  <c:v>14.079422382671481</c:v>
                </c:pt>
                <c:pt idx="5">
                  <c:v>11.842105263157894</c:v>
                </c:pt>
                <c:pt idx="6">
                  <c:v>7.1969696969696972</c:v>
                </c:pt>
                <c:pt idx="7">
                  <c:v>10.62992125984252</c:v>
                </c:pt>
                <c:pt idx="8" formatCode="0.0">
                  <c:v>10.95890410958904</c:v>
                </c:pt>
                <c:pt idx="9" formatCode="General">
                  <c:v>9.1999999999999993</c:v>
                </c:pt>
                <c:pt idx="10" formatCode="General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0-4EE8-8A9A-87ADCF9612CD}"/>
            </c:ext>
          </c:extLst>
        </c:ser>
        <c:ser>
          <c:idx val="2"/>
          <c:order val="2"/>
          <c:tx>
            <c:strRef>
              <c:f>'6.04 Graphique 5'!$A$8</c:f>
              <c:strCache>
                <c:ptCount val="1"/>
                <c:pt idx="0">
                  <c:v>Professions Intermédiaires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5'!$B$8:$L$8</c:f>
              <c:numCache>
                <c:formatCode>#\ ##0.0</c:formatCode>
                <c:ptCount val="11"/>
                <c:pt idx="0">
                  <c:v>11.023622047244094</c:v>
                </c:pt>
                <c:pt idx="1">
                  <c:v>11.71875</c:v>
                </c:pt>
                <c:pt idx="2">
                  <c:v>12.217194570135746</c:v>
                </c:pt>
                <c:pt idx="3">
                  <c:v>17.475728155339805</c:v>
                </c:pt>
                <c:pt idx="4">
                  <c:v>14.079422382671481</c:v>
                </c:pt>
                <c:pt idx="5">
                  <c:v>9.8684210526315788</c:v>
                </c:pt>
                <c:pt idx="6">
                  <c:v>13.257575757575758</c:v>
                </c:pt>
                <c:pt idx="7">
                  <c:v>9.0551181102362204</c:v>
                </c:pt>
                <c:pt idx="8" formatCode="0.0">
                  <c:v>11.986301369863012</c:v>
                </c:pt>
                <c:pt idx="9" formatCode="General">
                  <c:v>12.5</c:v>
                </c:pt>
                <c:pt idx="10" formatCode="General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10-4EE8-8A9A-87ADCF9612CD}"/>
            </c:ext>
          </c:extLst>
        </c:ser>
        <c:ser>
          <c:idx val="3"/>
          <c:order val="3"/>
          <c:tx>
            <c:strRef>
              <c:f>'6.04 Graphique 5'!$A$9</c:f>
              <c:strCache>
                <c:ptCount val="1"/>
                <c:pt idx="0">
                  <c:v>Employés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5'!$B$9:$L$9</c:f>
              <c:numCache>
                <c:formatCode>#\ ##0.0</c:formatCode>
                <c:ptCount val="11"/>
                <c:pt idx="0">
                  <c:v>21.653543307086615</c:v>
                </c:pt>
                <c:pt idx="1">
                  <c:v>22.265625</c:v>
                </c:pt>
                <c:pt idx="2">
                  <c:v>18.552036199095024</c:v>
                </c:pt>
                <c:pt idx="3">
                  <c:v>20.388349514563107</c:v>
                </c:pt>
                <c:pt idx="4">
                  <c:v>19.133574007220215</c:v>
                </c:pt>
                <c:pt idx="5">
                  <c:v>25.986842105263158</c:v>
                </c:pt>
                <c:pt idx="6">
                  <c:v>18.939393939393938</c:v>
                </c:pt>
                <c:pt idx="7">
                  <c:v>25.196850393700785</c:v>
                </c:pt>
                <c:pt idx="8" formatCode="0.0">
                  <c:v>32.87671232876712</c:v>
                </c:pt>
                <c:pt idx="9" formatCode="General">
                  <c:v>27.7</c:v>
                </c:pt>
                <c:pt idx="10" formatCode="General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10-4EE8-8A9A-87ADCF9612CD}"/>
            </c:ext>
          </c:extLst>
        </c:ser>
        <c:ser>
          <c:idx val="4"/>
          <c:order val="4"/>
          <c:tx>
            <c:strRef>
              <c:f>'6.04 Graphique 5'!$A$10</c:f>
              <c:strCache>
                <c:ptCount val="1"/>
                <c:pt idx="0">
                  <c:v>Ouvriers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5'!$B$10:$L$10</c:f>
              <c:numCache>
                <c:formatCode>#\ ##0.0</c:formatCode>
                <c:ptCount val="11"/>
                <c:pt idx="0">
                  <c:v>20.866141732283463</c:v>
                </c:pt>
                <c:pt idx="1">
                  <c:v>19.140625</c:v>
                </c:pt>
                <c:pt idx="2">
                  <c:v>22.171945701357465</c:v>
                </c:pt>
                <c:pt idx="3">
                  <c:v>19.093851132686083</c:v>
                </c:pt>
                <c:pt idx="4">
                  <c:v>22.021660649819495</c:v>
                </c:pt>
                <c:pt idx="5">
                  <c:v>19.078947368421055</c:v>
                </c:pt>
                <c:pt idx="6">
                  <c:v>22.348484848484848</c:v>
                </c:pt>
                <c:pt idx="7">
                  <c:v>20.078740157480315</c:v>
                </c:pt>
                <c:pt idx="8" formatCode="0.0">
                  <c:v>3.7671232876712328</c:v>
                </c:pt>
                <c:pt idx="9" formatCode="General">
                  <c:v>4.8</c:v>
                </c:pt>
                <c:pt idx="10" formatCode="General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10-4EE8-8A9A-87ADCF9612CD}"/>
            </c:ext>
          </c:extLst>
        </c:ser>
        <c:ser>
          <c:idx val="5"/>
          <c:order val="5"/>
          <c:tx>
            <c:strRef>
              <c:f>'6.04 Graphique 5'!$A$11</c:f>
              <c:strCache>
                <c:ptCount val="1"/>
                <c:pt idx="0">
                  <c:v>Retraités et inactifs *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'6.04 Graphique 5'!$B$5:$L$5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'6.04 Graphique 5'!$B$11:$L$11</c:f>
              <c:numCache>
                <c:formatCode>#\ ##0.0</c:formatCode>
                <c:ptCount val="11"/>
                <c:pt idx="0">
                  <c:v>20.472440944881889</c:v>
                </c:pt>
                <c:pt idx="1">
                  <c:v>14.453125</c:v>
                </c:pt>
                <c:pt idx="2">
                  <c:v>23.981900452488688</c:v>
                </c:pt>
                <c:pt idx="3">
                  <c:v>13.592233009708737</c:v>
                </c:pt>
                <c:pt idx="4">
                  <c:v>15.162454873646208</c:v>
                </c:pt>
                <c:pt idx="5">
                  <c:v>15.789473684210526</c:v>
                </c:pt>
                <c:pt idx="6">
                  <c:v>20.454545454545457</c:v>
                </c:pt>
                <c:pt idx="7">
                  <c:v>13.779527559055119</c:v>
                </c:pt>
                <c:pt idx="8" formatCode="0.0">
                  <c:v>33.561643835616437</c:v>
                </c:pt>
                <c:pt idx="9" formatCode="General">
                  <c:v>39.5</c:v>
                </c:pt>
                <c:pt idx="10" formatCode="General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10-4EE8-8A9A-87ADCF96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9108344"/>
        <c:axId val="1"/>
      </c:barChart>
      <c:catAx>
        <c:axId val="32910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numFmt formatCode="#\ 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9108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1187755329690988E-3"/>
          <c:y val="4.2022823099797504E-2"/>
          <c:w val="0.98341801164361808"/>
          <c:h val="4.589079422871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13</xdr:row>
      <xdr:rowOff>57150</xdr:rowOff>
    </xdr:from>
    <xdr:to>
      <xdr:col>9</xdr:col>
      <xdr:colOff>704850</xdr:colOff>
      <xdr:row>30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15</xdr:row>
      <xdr:rowOff>123263</xdr:rowOff>
    </xdr:from>
    <xdr:to>
      <xdr:col>10</xdr:col>
      <xdr:colOff>100853</xdr:colOff>
      <xdr:row>52</xdr:row>
      <xdr:rowOff>78441</xdr:rowOff>
    </xdr:to>
    <xdr:graphicFrame macro="">
      <xdr:nvGraphicFramePr>
        <xdr:cNvPr id="1053" name="Graphique 1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0.89525</cdr:x>
      <cdr:y>0.94525</cdr:y>
    </cdr:from>
    <cdr:to>
      <cdr:x>0.89525</cdr:x>
      <cdr:y>0.95182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324851" y="36814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0.93334</cdr:x>
      <cdr:y>0.9363</cdr:y>
    </cdr:from>
    <cdr:to>
      <cdr:x>0.99397</cdr:x>
      <cdr:y>0.99854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401051" y="3557589"/>
          <a:ext cx="561975" cy="238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© SIES</a:t>
          </a:r>
        </a:p>
      </cdr:txBody>
    </cdr:sp>
  </cdr:relSizeAnchor>
  <cdr:relSizeAnchor xmlns:cdr="http://schemas.openxmlformats.org/drawingml/2006/chartDrawing">
    <cdr:from>
      <cdr:x>0.8985</cdr:x>
      <cdr:y>0.94452</cdr:y>
    </cdr:from>
    <cdr:to>
      <cdr:x>0.89899</cdr:x>
      <cdr:y>0.95936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8324851" y="36814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id="1" name="Tableau1" displayName="Tableau1" ref="A5:K13" totalsRowShown="0" headerRowDxfId="10" headerRowBorderDxfId="9" headerRowCellStyle="Normal 4">
  <autoFilter ref="A5:K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11">
    <tableColumn id="1" name="Colonne1" dataDxfId="8" dataCellStyle="Normal 4"/>
    <tableColumn id="2" name="2016  2017" dataDxfId="7"/>
    <tableColumn id="3" name="2017  2018" dataDxfId="6"/>
    <tableColumn id="4" name="2018  2019" dataDxfId="5"/>
    <tableColumn id="5" name="2019-2020" dataDxfId="4"/>
    <tableColumn id="6" name="2020-2021" dataDxfId="3"/>
    <tableColumn id="7" name="2021-2022" dataDxfId="2"/>
    <tableColumn id="8" name="2022-2023" dataDxfId="1"/>
    <tableColumn id="9" name="2023-2024" dataDxfId="0"/>
    <tableColumn id="11" name="2024-2025"/>
    <tableColumn id="12" name="2025-202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A94"/>
  <sheetViews>
    <sheetView showGridLines="0" topLeftCell="A7" zoomScaleNormal="100" zoomScaleSheetLayoutView="110" workbookViewId="0">
      <selection activeCell="A16" sqref="A16"/>
    </sheetView>
  </sheetViews>
  <sheetFormatPr baseColWidth="10" defaultRowHeight="12.75" x14ac:dyDescent="0.2"/>
  <cols>
    <col min="1" max="1" width="90.7109375" style="12" customWidth="1"/>
    <col min="2" max="16384" width="11.42578125" style="12"/>
  </cols>
  <sheetData>
    <row r="1" spans="1:1" x14ac:dyDescent="0.2">
      <c r="A1" s="11" t="s">
        <v>88</v>
      </c>
    </row>
    <row r="2" spans="1:1" x14ac:dyDescent="0.2">
      <c r="A2" s="13" t="s">
        <v>49</v>
      </c>
    </row>
    <row r="3" spans="1:1" x14ac:dyDescent="0.2">
      <c r="A3" s="38">
        <v>45966</v>
      </c>
    </row>
    <row r="4" spans="1:1" ht="20.25" thickBot="1" x14ac:dyDescent="0.35">
      <c r="A4" s="39" t="s">
        <v>50</v>
      </c>
    </row>
    <row r="5" spans="1:1" ht="13.5" thickTop="1" x14ac:dyDescent="0.2"/>
    <row r="6" spans="1:1" ht="25.5" x14ac:dyDescent="0.2">
      <c r="A6" s="40" t="s">
        <v>51</v>
      </c>
    </row>
    <row r="7" spans="1:1" ht="82.5" customHeight="1" x14ac:dyDescent="0.2">
      <c r="A7" s="41" t="s">
        <v>52</v>
      </c>
    </row>
    <row r="8" spans="1:1" ht="17.25" thickBot="1" x14ac:dyDescent="0.25">
      <c r="A8" s="85" t="s">
        <v>86</v>
      </c>
    </row>
    <row r="9" spans="1:1" s="15" customFormat="1" ht="13.5" thickTop="1" x14ac:dyDescent="0.2">
      <c r="A9" s="14"/>
    </row>
    <row r="10" spans="1:1" s="15" customFormat="1" x14ac:dyDescent="0.2">
      <c r="A10" s="14"/>
    </row>
    <row r="11" spans="1:1" s="15" customFormat="1" x14ac:dyDescent="0.2">
      <c r="A11" s="14"/>
    </row>
    <row r="12" spans="1:1" s="15" customFormat="1" ht="34.9" customHeight="1" x14ac:dyDescent="0.2"/>
    <row r="13" spans="1:1" s="15" customFormat="1" ht="35.1" customHeight="1" x14ac:dyDescent="0.2">
      <c r="A13" s="78" t="s">
        <v>31</v>
      </c>
    </row>
    <row r="14" spans="1:1" s="15" customFormat="1" x14ac:dyDescent="0.2">
      <c r="A14" s="16" t="s">
        <v>99</v>
      </c>
    </row>
    <row r="15" spans="1:1" s="15" customFormat="1" ht="24" x14ac:dyDescent="0.2">
      <c r="A15" s="16" t="s">
        <v>105</v>
      </c>
    </row>
    <row r="16" spans="1:1" s="15" customFormat="1" x14ac:dyDescent="0.2">
      <c r="A16" s="16" t="s">
        <v>100</v>
      </c>
    </row>
    <row r="17" spans="1:1" s="15" customFormat="1" ht="24" x14ac:dyDescent="0.2">
      <c r="A17" s="16" t="s">
        <v>101</v>
      </c>
    </row>
    <row r="18" spans="1:1" s="15" customFormat="1" x14ac:dyDescent="0.2">
      <c r="A18" s="16" t="s">
        <v>94</v>
      </c>
    </row>
    <row r="19" spans="1:1" s="15" customFormat="1" ht="35.1" customHeight="1" x14ac:dyDescent="0.2">
      <c r="A19" s="79" t="s">
        <v>32</v>
      </c>
    </row>
    <row r="20" spans="1:1" s="15" customFormat="1" ht="22.5" x14ac:dyDescent="0.2">
      <c r="A20" s="80" t="s">
        <v>91</v>
      </c>
    </row>
    <row r="21" spans="1:1" s="15" customFormat="1" ht="22.5" x14ac:dyDescent="0.2">
      <c r="A21" s="80" t="s">
        <v>92</v>
      </c>
    </row>
    <row r="22" spans="1:1" s="15" customFormat="1" ht="35.1" customHeight="1" x14ac:dyDescent="0.2">
      <c r="A22" s="81" t="s">
        <v>33</v>
      </c>
    </row>
    <row r="23" spans="1:1" s="15" customFormat="1" x14ac:dyDescent="0.2">
      <c r="A23" s="82" t="s">
        <v>93</v>
      </c>
    </row>
    <row r="24" spans="1:1" s="15" customFormat="1" ht="35.1" customHeight="1" x14ac:dyDescent="0.2">
      <c r="A24" s="83" t="s">
        <v>34</v>
      </c>
    </row>
    <row r="25" spans="1:1" s="15" customFormat="1" x14ac:dyDescent="0.2">
      <c r="A25" s="84" t="s">
        <v>83</v>
      </c>
    </row>
    <row r="26" spans="1:1" s="15" customFormat="1" x14ac:dyDescent="0.2"/>
    <row r="27" spans="1:1" s="15" customFormat="1" ht="22.5" x14ac:dyDescent="0.2">
      <c r="A27" s="17" t="s">
        <v>35</v>
      </c>
    </row>
    <row r="28" spans="1:1" s="15" customFormat="1" x14ac:dyDescent="0.2">
      <c r="A28" s="18"/>
    </row>
    <row r="29" spans="1:1" s="15" customFormat="1" x14ac:dyDescent="0.2">
      <c r="A29" s="79" t="s">
        <v>36</v>
      </c>
    </row>
    <row r="30" spans="1:1" s="15" customFormat="1" x14ac:dyDescent="0.2">
      <c r="A30" s="18"/>
    </row>
    <row r="31" spans="1:1" s="15" customFormat="1" x14ac:dyDescent="0.2">
      <c r="A31" s="18" t="s">
        <v>37</v>
      </c>
    </row>
    <row r="32" spans="1:1" s="15" customFormat="1" x14ac:dyDescent="0.2">
      <c r="A32" s="18" t="s">
        <v>38</v>
      </c>
    </row>
    <row r="33" spans="1:1" s="15" customFormat="1" x14ac:dyDescent="0.2">
      <c r="A33" s="18" t="s">
        <v>39</v>
      </c>
    </row>
    <row r="34" spans="1:1" s="15" customFormat="1" x14ac:dyDescent="0.2">
      <c r="A34" s="18" t="s">
        <v>40</v>
      </c>
    </row>
    <row r="35" spans="1:1" s="15" customFormat="1" x14ac:dyDescent="0.2"/>
    <row r="36" spans="1:1" s="15" customFormat="1" x14ac:dyDescent="0.2"/>
    <row r="37" spans="1:1" s="15" customFormat="1" x14ac:dyDescent="0.2"/>
    <row r="38" spans="1:1" s="15" customFormat="1" x14ac:dyDescent="0.2"/>
    <row r="39" spans="1:1" s="15" customFormat="1" x14ac:dyDescent="0.2"/>
    <row r="40" spans="1:1" s="15" customFormat="1" x14ac:dyDescent="0.2"/>
    <row r="41" spans="1:1" s="15" customFormat="1" x14ac:dyDescent="0.2"/>
    <row r="42" spans="1:1" s="15" customFormat="1" x14ac:dyDescent="0.2"/>
    <row r="43" spans="1:1" s="15" customFormat="1" x14ac:dyDescent="0.2"/>
    <row r="44" spans="1:1" s="15" customFormat="1" x14ac:dyDescent="0.2"/>
    <row r="45" spans="1:1" s="15" customFormat="1" x14ac:dyDescent="0.2"/>
    <row r="46" spans="1:1" s="15" customFormat="1" x14ac:dyDescent="0.2"/>
    <row r="47" spans="1:1" s="15" customFormat="1" x14ac:dyDescent="0.2"/>
    <row r="48" spans="1:1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pans="1:1" s="15" customFormat="1" x14ac:dyDescent="0.2"/>
    <row r="66" spans="1:1" s="15" customFormat="1" x14ac:dyDescent="0.2"/>
    <row r="67" spans="1:1" s="15" customFormat="1" x14ac:dyDescent="0.2"/>
    <row r="68" spans="1:1" s="15" customFormat="1" x14ac:dyDescent="0.2"/>
    <row r="69" spans="1:1" s="15" customFormat="1" x14ac:dyDescent="0.2"/>
    <row r="70" spans="1:1" s="15" customFormat="1" x14ac:dyDescent="0.2"/>
    <row r="71" spans="1:1" s="15" customFormat="1" x14ac:dyDescent="0.2"/>
    <row r="72" spans="1:1" s="15" customFormat="1" x14ac:dyDescent="0.2"/>
    <row r="73" spans="1:1" s="15" customFormat="1" x14ac:dyDescent="0.2"/>
    <row r="74" spans="1:1" s="15" customFormat="1" x14ac:dyDescent="0.2"/>
    <row r="75" spans="1:1" s="15" customFormat="1" x14ac:dyDescent="0.2"/>
    <row r="76" spans="1:1" s="15" customFormat="1" x14ac:dyDescent="0.2"/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R26"/>
  <sheetViews>
    <sheetView showGridLines="0" zoomScaleNormal="100" workbookViewId="0">
      <selection activeCell="A17" sqref="A17:XFD18"/>
    </sheetView>
  </sheetViews>
  <sheetFormatPr baseColWidth="10" defaultColWidth="8.5703125" defaultRowHeight="12.75" x14ac:dyDescent="0.2"/>
  <cols>
    <col min="1" max="1" width="26.28515625" style="24" customWidth="1"/>
    <col min="2" max="11" width="10.7109375" style="24" customWidth="1"/>
    <col min="12" max="237" width="11.42578125" style="24" customWidth="1"/>
    <col min="238" max="238" width="26.28515625" style="24" customWidth="1"/>
    <col min="239" max="248" width="7.42578125" style="24" customWidth="1"/>
    <col min="249" max="249" width="6.5703125" style="24" bestFit="1" customWidth="1"/>
    <col min="250" max="16384" width="8.5703125" style="24"/>
  </cols>
  <sheetData>
    <row r="1" spans="1:18" ht="22.5" customHeight="1" thickBot="1" x14ac:dyDescent="0.25">
      <c r="A1" s="90" t="str">
        <f>'6.04 Notice'!A8</f>
        <v>6.04 Les sections de techniciens supérieurs et assimilés</v>
      </c>
      <c r="B1" s="74"/>
      <c r="C1" s="74"/>
      <c r="D1" s="74"/>
      <c r="E1" s="74"/>
      <c r="F1" s="74"/>
    </row>
    <row r="2" spans="1:18" ht="13.5" thickTop="1" x14ac:dyDescent="0.2">
      <c r="A2" s="19"/>
    </row>
    <row r="3" spans="1:18" ht="15" x14ac:dyDescent="0.2">
      <c r="A3" s="108" t="str">
        <f>'6.04 Notice'!A14</f>
        <v xml:space="preserve">[1] Évolution des effectifs d'étudiants en STS, classes de mise à niveau et DTS </v>
      </c>
      <c r="B3" s="33"/>
      <c r="C3" s="33"/>
      <c r="D3" s="33"/>
      <c r="E3" s="33"/>
      <c r="F3" s="33"/>
      <c r="G3" s="33"/>
    </row>
    <row r="4" spans="1:18" x14ac:dyDescent="0.2">
      <c r="A4" s="34"/>
    </row>
    <row r="5" spans="1:18" ht="12" customHeight="1" x14ac:dyDescent="0.2">
      <c r="A5" s="97" t="s">
        <v>95</v>
      </c>
      <c r="B5" s="98" t="s">
        <v>10</v>
      </c>
      <c r="C5" s="98" t="s">
        <v>11</v>
      </c>
      <c r="D5" s="98" t="s">
        <v>12</v>
      </c>
      <c r="E5" s="98" t="s">
        <v>21</v>
      </c>
      <c r="F5" s="98" t="s">
        <v>22</v>
      </c>
      <c r="G5" s="98" t="s">
        <v>24</v>
      </c>
      <c r="H5" s="98" t="s">
        <v>46</v>
      </c>
      <c r="I5" s="98" t="s">
        <v>76</v>
      </c>
      <c r="J5" s="145" t="s">
        <v>90</v>
      </c>
      <c r="K5" s="145" t="s">
        <v>102</v>
      </c>
    </row>
    <row r="6" spans="1:18" ht="12" customHeight="1" x14ac:dyDescent="0.2">
      <c r="A6" s="36" t="s">
        <v>0</v>
      </c>
      <c r="B6" s="101">
        <v>234</v>
      </c>
      <c r="C6" s="101">
        <v>206</v>
      </c>
      <c r="D6" s="101">
        <v>263</v>
      </c>
      <c r="E6" s="101">
        <v>249</v>
      </c>
      <c r="F6" s="101">
        <v>284</v>
      </c>
      <c r="G6" s="101">
        <v>236</v>
      </c>
      <c r="H6" s="101">
        <v>241</v>
      </c>
      <c r="I6" s="102">
        <v>260</v>
      </c>
      <c r="J6" s="102">
        <v>262</v>
      </c>
      <c r="K6" s="102">
        <v>263</v>
      </c>
      <c r="N6" s="37"/>
    </row>
    <row r="7" spans="1:18" ht="12" customHeight="1" x14ac:dyDescent="0.2">
      <c r="A7" s="75" t="s">
        <v>97</v>
      </c>
      <c r="B7" s="99">
        <v>5.8</v>
      </c>
      <c r="C7" s="99">
        <v>-12</v>
      </c>
      <c r="D7" s="100">
        <v>21.7</v>
      </c>
      <c r="E7" s="99">
        <v>-5.3</v>
      </c>
      <c r="F7" s="99">
        <v>35</v>
      </c>
      <c r="G7" s="100">
        <v>17</v>
      </c>
      <c r="H7" s="99">
        <v>2.11</v>
      </c>
      <c r="I7" s="103">
        <v>7.9</v>
      </c>
      <c r="J7" s="103">
        <v>0.76335877862595414</v>
      </c>
      <c r="K7" s="103">
        <v>0.38022813688212925</v>
      </c>
    </row>
    <row r="8" spans="1:18" ht="12" customHeight="1" x14ac:dyDescent="0.2">
      <c r="A8" s="75" t="s">
        <v>26</v>
      </c>
      <c r="B8" s="104">
        <f>+B6/B12*100</f>
        <v>93.600000000000009</v>
      </c>
      <c r="C8" s="104">
        <f>+C6/C12*100</f>
        <v>94.930875576036868</v>
      </c>
      <c r="D8" s="104">
        <f t="shared" ref="D8:G8" si="0">+D6/D12*100</f>
        <v>90.689655172413794</v>
      </c>
      <c r="E8" s="104">
        <f>+E6/E12*100</f>
        <v>90.87591240875912</v>
      </c>
      <c r="F8" s="104">
        <f t="shared" si="0"/>
        <v>93.114754098360649</v>
      </c>
      <c r="G8" s="104">
        <f t="shared" si="0"/>
        <v>89.393939393939391</v>
      </c>
      <c r="H8" s="104">
        <f>+H6/H12*100</f>
        <v>94.881889763779526</v>
      </c>
      <c r="I8" s="104">
        <f>+I6/I12*100</f>
        <v>94.545454545454547</v>
      </c>
      <c r="J8" s="175">
        <v>97.037037037037038</v>
      </c>
      <c r="K8" s="175">
        <v>92.932862190812727</v>
      </c>
    </row>
    <row r="9" spans="1:18" ht="12" customHeight="1" x14ac:dyDescent="0.2">
      <c r="A9" s="36" t="s">
        <v>1</v>
      </c>
      <c r="B9" s="101">
        <v>16</v>
      </c>
      <c r="C9" s="101">
        <v>11</v>
      </c>
      <c r="D9" s="101">
        <v>27</v>
      </c>
      <c r="E9" s="101">
        <v>25</v>
      </c>
      <c r="F9" s="101">
        <v>21</v>
      </c>
      <c r="G9" s="101">
        <v>28</v>
      </c>
      <c r="H9" s="101">
        <v>13</v>
      </c>
      <c r="I9" s="105">
        <v>15</v>
      </c>
      <c r="J9" s="105">
        <v>8</v>
      </c>
      <c r="K9" s="105">
        <v>20</v>
      </c>
    </row>
    <row r="10" spans="1:18" ht="12" customHeight="1" x14ac:dyDescent="0.2">
      <c r="A10" s="75" t="s">
        <v>98</v>
      </c>
      <c r="B10" s="99" t="s">
        <v>77</v>
      </c>
      <c r="C10" s="99" t="s">
        <v>78</v>
      </c>
      <c r="D10" s="100">
        <v>59.2</v>
      </c>
      <c r="E10" s="99" t="s">
        <v>80</v>
      </c>
      <c r="F10" s="99">
        <v>-16</v>
      </c>
      <c r="G10" s="100">
        <v>33</v>
      </c>
      <c r="H10" s="99" t="s">
        <v>81</v>
      </c>
      <c r="I10" s="103">
        <v>15.4</v>
      </c>
      <c r="J10" s="103">
        <v>-87.5</v>
      </c>
      <c r="K10" s="103">
        <v>60</v>
      </c>
    </row>
    <row r="11" spans="1:18" ht="12" customHeight="1" x14ac:dyDescent="0.2">
      <c r="A11" s="75" t="s">
        <v>26</v>
      </c>
      <c r="B11" s="104">
        <f>+B9/B12*100</f>
        <v>6.4</v>
      </c>
      <c r="C11" s="104">
        <f>+C9/C12*100</f>
        <v>5.0691244239631335</v>
      </c>
      <c r="D11" s="104">
        <f>+D9/D12*100</f>
        <v>9.3103448275862082</v>
      </c>
      <c r="E11" s="104">
        <f>+E9/E12*100</f>
        <v>9.1240875912408761</v>
      </c>
      <c r="F11" s="104">
        <f>+F9/F12*100</f>
        <v>6.8852459016393448</v>
      </c>
      <c r="G11" s="104">
        <f t="shared" ref="G11" si="1">+G9/G12*100</f>
        <v>10.606060606060606</v>
      </c>
      <c r="H11" s="104">
        <f>+H9/H12*100</f>
        <v>5.1181102362204722</v>
      </c>
      <c r="I11" s="104">
        <f>+I9/I12*100</f>
        <v>5.4545454545454541</v>
      </c>
      <c r="J11" s="175">
        <v>2.9629629629629632</v>
      </c>
      <c r="K11" s="175">
        <v>7.0671378091872796</v>
      </c>
    </row>
    <row r="12" spans="1:18" ht="12" customHeight="1" x14ac:dyDescent="0.2">
      <c r="A12" s="96" t="s">
        <v>2</v>
      </c>
      <c r="B12" s="106">
        <f t="shared" ref="B12:I12" si="2">+B6+B9</f>
        <v>250</v>
      </c>
      <c r="C12" s="106">
        <f t="shared" si="2"/>
        <v>217</v>
      </c>
      <c r="D12" s="106">
        <f t="shared" si="2"/>
        <v>290</v>
      </c>
      <c r="E12" s="106">
        <f t="shared" si="2"/>
        <v>274</v>
      </c>
      <c r="F12" s="106">
        <f t="shared" si="2"/>
        <v>305</v>
      </c>
      <c r="G12" s="106">
        <f t="shared" si="2"/>
        <v>264</v>
      </c>
      <c r="H12" s="106">
        <f t="shared" si="2"/>
        <v>254</v>
      </c>
      <c r="I12" s="107">
        <f t="shared" si="2"/>
        <v>275</v>
      </c>
      <c r="J12" s="107">
        <v>270</v>
      </c>
      <c r="K12" s="107">
        <v>283</v>
      </c>
      <c r="N12" s="35"/>
      <c r="O12" s="35"/>
      <c r="P12" s="35"/>
      <c r="Q12" s="35"/>
      <c r="R12" s="35"/>
    </row>
    <row r="13" spans="1:18" ht="12" customHeight="1" x14ac:dyDescent="0.2">
      <c r="A13" s="177"/>
      <c r="B13" s="101"/>
      <c r="C13" s="101"/>
      <c r="D13" s="101"/>
      <c r="E13" s="101"/>
      <c r="F13" s="101"/>
      <c r="G13" s="101"/>
      <c r="H13" s="101"/>
      <c r="I13" s="176"/>
    </row>
    <row r="14" spans="1:18" ht="18" customHeight="1" x14ac:dyDescent="0.2">
      <c r="A14" s="75" t="s">
        <v>27</v>
      </c>
      <c r="B14" s="104">
        <v>1.6</v>
      </c>
      <c r="C14" s="104" t="s">
        <v>79</v>
      </c>
      <c r="D14" s="104">
        <v>25.2</v>
      </c>
      <c r="E14" s="104" t="s">
        <v>47</v>
      </c>
      <c r="F14" s="104">
        <v>11.3</v>
      </c>
      <c r="G14" s="104">
        <v>13.4</v>
      </c>
      <c r="H14" s="104" t="s">
        <v>82</v>
      </c>
      <c r="I14" s="104">
        <v>8.3000000000000007</v>
      </c>
      <c r="J14" s="178">
        <v>-1.8181818181818181</v>
      </c>
      <c r="K14" s="178">
        <v>4.8</v>
      </c>
    </row>
    <row r="15" spans="1:18" s="7" customFormat="1" ht="12" customHeight="1" x14ac:dyDescent="0.2">
      <c r="A15" s="8"/>
      <c r="B15" s="94"/>
      <c r="C15" s="94"/>
      <c r="D15" s="95"/>
      <c r="E15" s="94"/>
      <c r="F15" s="94"/>
      <c r="G15" s="94"/>
      <c r="H15" s="94"/>
      <c r="I15" s="94"/>
      <c r="J15" s="94"/>
      <c r="K15" s="94"/>
      <c r="M15" s="93"/>
    </row>
    <row r="16" spans="1:18" ht="46.5" customHeight="1" x14ac:dyDescent="0.2">
      <c r="A16" s="92" t="s">
        <v>45</v>
      </c>
      <c r="B16" s="92"/>
      <c r="C16" s="92"/>
      <c r="D16" s="2"/>
      <c r="E16" s="2"/>
      <c r="F16" s="2"/>
      <c r="G16" s="7"/>
      <c r="H16" s="7"/>
      <c r="I16" s="7"/>
      <c r="J16" s="7"/>
      <c r="K16" s="7"/>
    </row>
    <row r="17" spans="1:11" ht="28.5" customHeight="1" x14ac:dyDescent="0.2">
      <c r="A17" s="147" t="s">
        <v>103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9" spans="1:11" x14ac:dyDescent="0.2">
      <c r="A19" s="146" t="s">
        <v>48</v>
      </c>
      <c r="B19" s="146"/>
      <c r="C19" s="146"/>
      <c r="D19" s="146"/>
      <c r="E19" s="146"/>
      <c r="F19" s="146"/>
      <c r="G19" s="146"/>
    </row>
    <row r="21" spans="1:11" x14ac:dyDescent="0.2">
      <c r="B21" s="37"/>
    </row>
    <row r="26" spans="1:11" x14ac:dyDescent="0.2">
      <c r="H26" s="37"/>
    </row>
  </sheetData>
  <mergeCells count="2">
    <mergeCell ref="A19:G19"/>
    <mergeCell ref="A17:K17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zoomScaleNormal="100" workbookViewId="0">
      <selection activeCell="A25" sqref="A25:G25"/>
    </sheetView>
  </sheetViews>
  <sheetFormatPr baseColWidth="10" defaultRowHeight="12.75" x14ac:dyDescent="0.2"/>
  <cols>
    <col min="1" max="1" width="7.140625" style="54" customWidth="1"/>
    <col min="2" max="2" width="52.5703125" style="57" customWidth="1"/>
    <col min="3" max="3" width="11.7109375" style="56" customWidth="1"/>
    <col min="4" max="5" width="11.7109375" style="55" customWidth="1"/>
    <col min="6" max="7" width="11.7109375" style="54" customWidth="1"/>
    <col min="8" max="16384" width="11.42578125" style="54"/>
  </cols>
  <sheetData>
    <row r="1" spans="1:11" ht="17.25" thickBot="1" x14ac:dyDescent="0.25">
      <c r="A1" s="91" t="str">
        <f>'6.04 Notice'!A8</f>
        <v>6.04 Les sections de techniciens supérieurs et assimilés</v>
      </c>
      <c r="B1" s="76"/>
      <c r="C1" s="76"/>
      <c r="D1" s="76"/>
      <c r="E1" s="89"/>
    </row>
    <row r="2" spans="1:11" ht="15.75" thickTop="1" x14ac:dyDescent="0.2">
      <c r="A2" s="53"/>
      <c r="B2" s="53"/>
      <c r="C2" s="53"/>
      <c r="D2" s="53"/>
    </row>
    <row r="3" spans="1:11" ht="15" x14ac:dyDescent="0.2">
      <c r="A3" s="148" t="str">
        <f>'6.04 Notice'!A15</f>
        <v>[2] Les étudiants inscrits en STS, classes de mise à niveau pour BTS, DTS par spécialité de formation en 2025-2026</v>
      </c>
      <c r="B3" s="149"/>
      <c r="C3" s="149"/>
      <c r="D3" s="149"/>
      <c r="E3" s="149"/>
      <c r="F3" s="149"/>
      <c r="G3" s="149"/>
      <c r="H3" s="149"/>
    </row>
    <row r="4" spans="1:11" x14ac:dyDescent="0.2">
      <c r="A4" s="70"/>
    </row>
    <row r="5" spans="1:11" ht="22.5" x14ac:dyDescent="0.2">
      <c r="A5" s="153" t="s">
        <v>75</v>
      </c>
      <c r="B5" s="154"/>
      <c r="C5" s="125" t="s">
        <v>106</v>
      </c>
      <c r="D5" s="126" t="s">
        <v>74</v>
      </c>
      <c r="E5" s="126" t="s">
        <v>73</v>
      </c>
      <c r="F5" s="125" t="s">
        <v>104</v>
      </c>
      <c r="G5" s="127" t="s">
        <v>72</v>
      </c>
    </row>
    <row r="6" spans="1:11" s="60" customFormat="1" ht="12" customHeight="1" x14ac:dyDescent="0.2">
      <c r="A6" s="68">
        <v>201</v>
      </c>
      <c r="B6" s="67" t="s">
        <v>71</v>
      </c>
      <c r="C6" s="66">
        <v>26</v>
      </c>
      <c r="D6" s="112">
        <f>+C6/C20*100</f>
        <v>5.8165548098434003</v>
      </c>
      <c r="E6" s="122">
        <v>3.8461538461538463</v>
      </c>
      <c r="F6" s="66">
        <v>34</v>
      </c>
      <c r="G6" s="113">
        <f>+C6/F6-1</f>
        <v>-0.23529411764705888</v>
      </c>
      <c r="H6" s="54"/>
      <c r="I6" s="69"/>
      <c r="K6" s="69"/>
    </row>
    <row r="7" spans="1:11" s="60" customFormat="1" ht="12" customHeight="1" x14ac:dyDescent="0.2">
      <c r="A7" s="68">
        <v>213</v>
      </c>
      <c r="B7" s="67" t="s">
        <v>70</v>
      </c>
      <c r="C7" s="66">
        <v>23</v>
      </c>
      <c r="D7" s="112">
        <f>+C7/C20*100</f>
        <v>5.1454138702460845</v>
      </c>
      <c r="E7" s="122">
        <v>17.391304347826086</v>
      </c>
      <c r="F7" s="66">
        <v>19</v>
      </c>
      <c r="G7" s="113">
        <f>+C7/F7-1</f>
        <v>0.21052631578947367</v>
      </c>
      <c r="H7" s="54"/>
    </row>
    <row r="8" spans="1:11" s="60" customFormat="1" ht="12" customHeight="1" x14ac:dyDescent="0.2">
      <c r="A8" s="68">
        <v>250</v>
      </c>
      <c r="B8" s="67" t="s">
        <v>69</v>
      </c>
      <c r="C8" s="66">
        <v>53</v>
      </c>
      <c r="D8" s="112">
        <f>+C8/C20*100</f>
        <v>11.856823266219239</v>
      </c>
      <c r="E8" s="122">
        <v>7.5471698113207548</v>
      </c>
      <c r="F8" s="66">
        <v>35</v>
      </c>
      <c r="G8" s="113">
        <f>+C8/F8-1</f>
        <v>0.51428571428571423</v>
      </c>
      <c r="H8" s="54"/>
    </row>
    <row r="9" spans="1:11" s="60" customFormat="1" ht="12" customHeight="1" x14ac:dyDescent="0.2">
      <c r="A9" s="68">
        <v>255</v>
      </c>
      <c r="B9" s="67" t="s">
        <v>68</v>
      </c>
      <c r="C9" s="66">
        <v>38</v>
      </c>
      <c r="D9" s="111">
        <f>+C9/C20*100</f>
        <v>8.5011185682326627</v>
      </c>
      <c r="E9" s="122">
        <v>2.6315789473684208</v>
      </c>
      <c r="F9" s="66">
        <v>37</v>
      </c>
      <c r="G9" s="113">
        <f t="shared" ref="G9:G19" si="0">+C9/F9-1</f>
        <v>2.7027027027026973E-2</v>
      </c>
      <c r="H9" s="54"/>
    </row>
    <row r="10" spans="1:11" s="60" customFormat="1" ht="12" customHeight="1" x14ac:dyDescent="0.2">
      <c r="A10" s="65"/>
      <c r="B10" s="117" t="s">
        <v>67</v>
      </c>
      <c r="C10" s="118">
        <f>SUM(C6:C9)</f>
        <v>140</v>
      </c>
      <c r="D10" s="120">
        <f>+C10/C20*100</f>
        <v>31.319910514541387</v>
      </c>
      <c r="E10" s="123">
        <v>7.1428571428571423</v>
      </c>
      <c r="F10" s="118">
        <v>125</v>
      </c>
      <c r="G10" s="119">
        <f t="shared" si="0"/>
        <v>0.12000000000000011</v>
      </c>
      <c r="H10" s="54"/>
    </row>
    <row r="11" spans="1:11" s="60" customFormat="1" ht="12" customHeight="1" x14ac:dyDescent="0.2">
      <c r="A11" s="68">
        <v>312</v>
      </c>
      <c r="B11" s="67" t="s">
        <v>66</v>
      </c>
      <c r="C11" s="66">
        <v>51</v>
      </c>
      <c r="D11" s="112">
        <f>+C11/C20*100</f>
        <v>11.409395973154362</v>
      </c>
      <c r="E11" s="122">
        <v>64.705882352941174</v>
      </c>
      <c r="F11" s="66">
        <v>74</v>
      </c>
      <c r="G11" s="114">
        <f>+C11/F11-1</f>
        <v>-0.31081081081081086</v>
      </c>
      <c r="H11" s="54"/>
    </row>
    <row r="12" spans="1:11" s="60" customFormat="1" ht="12" customHeight="1" x14ac:dyDescent="0.2">
      <c r="A12" s="68">
        <v>314</v>
      </c>
      <c r="B12" s="67" t="s">
        <v>65</v>
      </c>
      <c r="C12" s="66">
        <v>62</v>
      </c>
      <c r="D12" s="112">
        <f>+C12/C20*100</f>
        <v>13.870246085011187</v>
      </c>
      <c r="E12" s="122">
        <v>51.612903225806448</v>
      </c>
      <c r="F12" s="66">
        <v>62</v>
      </c>
      <c r="G12" s="114">
        <f t="shared" si="0"/>
        <v>0</v>
      </c>
      <c r="H12" s="54"/>
    </row>
    <row r="13" spans="1:11" s="60" customFormat="1" ht="12" customHeight="1" x14ac:dyDescent="0.2">
      <c r="A13" s="68">
        <v>324</v>
      </c>
      <c r="B13" s="67" t="s">
        <v>64</v>
      </c>
      <c r="C13" s="66">
        <v>41</v>
      </c>
      <c r="D13" s="112">
        <f>+C13/C20*100</f>
        <v>9.1722595078299776</v>
      </c>
      <c r="E13" s="122">
        <v>73.170731707317074</v>
      </c>
      <c r="F13" s="66">
        <v>42</v>
      </c>
      <c r="G13" s="114">
        <f t="shared" si="0"/>
        <v>-2.3809523809523836E-2</v>
      </c>
      <c r="H13" s="54"/>
    </row>
    <row r="14" spans="1:11" s="60" customFormat="1" ht="12" customHeight="1" x14ac:dyDescent="0.2">
      <c r="A14" s="68">
        <v>326</v>
      </c>
      <c r="B14" s="67" t="s">
        <v>63</v>
      </c>
      <c r="C14" s="66">
        <v>33</v>
      </c>
      <c r="D14" s="112">
        <f>+C14/C20*100</f>
        <v>7.3825503355704702</v>
      </c>
      <c r="E14" s="122">
        <v>6.0606060606060606</v>
      </c>
      <c r="F14" s="66">
        <v>31</v>
      </c>
      <c r="G14" s="114">
        <f>+C14/F14-1</f>
        <v>6.4516129032258007E-2</v>
      </c>
      <c r="H14" s="54"/>
    </row>
    <row r="15" spans="1:11" s="60" customFormat="1" ht="12" customHeight="1" x14ac:dyDescent="0.2">
      <c r="A15" s="68">
        <v>330</v>
      </c>
      <c r="B15" s="67" t="s">
        <v>62</v>
      </c>
      <c r="C15" s="66">
        <v>7</v>
      </c>
      <c r="D15" s="112">
        <f>+C15/C20*100</f>
        <v>1.5659955257270695</v>
      </c>
      <c r="E15" s="122">
        <v>71.428571428571431</v>
      </c>
      <c r="F15" s="66">
        <v>9</v>
      </c>
      <c r="G15" s="114">
        <f t="shared" si="0"/>
        <v>-0.22222222222222221</v>
      </c>
      <c r="H15" s="54"/>
    </row>
    <row r="16" spans="1:11" s="60" customFormat="1" ht="12" customHeight="1" x14ac:dyDescent="0.2">
      <c r="A16" s="68">
        <v>331</v>
      </c>
      <c r="B16" s="67" t="s">
        <v>107</v>
      </c>
      <c r="C16" s="66">
        <v>13</v>
      </c>
      <c r="D16" s="112">
        <v>2.9082774049217002</v>
      </c>
      <c r="E16" s="122">
        <v>38.461538461538467</v>
      </c>
      <c r="F16" s="66"/>
      <c r="G16" s="114"/>
      <c r="H16" s="54"/>
    </row>
    <row r="17" spans="1:12" s="60" customFormat="1" ht="12" customHeight="1" x14ac:dyDescent="0.2">
      <c r="A17" s="68">
        <v>334</v>
      </c>
      <c r="B17" s="67" t="s">
        <v>61</v>
      </c>
      <c r="C17" s="66">
        <v>80</v>
      </c>
      <c r="D17" s="112">
        <f>+C17/C20*100</f>
        <v>17.897091722595079</v>
      </c>
      <c r="E17" s="122">
        <v>70</v>
      </c>
      <c r="F17" s="66">
        <v>86</v>
      </c>
      <c r="G17" s="114">
        <f t="shared" si="0"/>
        <v>-6.9767441860465129E-2</v>
      </c>
      <c r="H17" s="54"/>
    </row>
    <row r="18" spans="1:12" s="60" customFormat="1" ht="12" customHeight="1" x14ac:dyDescent="0.2">
      <c r="A18" s="68">
        <v>344</v>
      </c>
      <c r="B18" s="67" t="s">
        <v>85</v>
      </c>
      <c r="C18" s="66">
        <v>20</v>
      </c>
      <c r="D18" s="112">
        <f>+C18/C20*100</f>
        <v>4.4742729306487696</v>
      </c>
      <c r="E18" s="122">
        <v>5</v>
      </c>
      <c r="F18" s="66">
        <v>13</v>
      </c>
      <c r="G18" s="114">
        <f t="shared" si="0"/>
        <v>0.53846153846153855</v>
      </c>
      <c r="H18" s="54"/>
    </row>
    <row r="19" spans="1:12" s="60" customFormat="1" ht="12" customHeight="1" x14ac:dyDescent="0.2">
      <c r="A19" s="65"/>
      <c r="B19" s="117" t="s">
        <v>60</v>
      </c>
      <c r="C19" s="118">
        <f>SUM(C11:C18)</f>
        <v>307</v>
      </c>
      <c r="D19" s="120">
        <f>+C19/C20*100</f>
        <v>68.680089485458623</v>
      </c>
      <c r="E19" s="123">
        <v>53.420195439739416</v>
      </c>
      <c r="F19" s="118">
        <v>317</v>
      </c>
      <c r="G19" s="119">
        <f t="shared" si="0"/>
        <v>-3.1545741324921162E-2</v>
      </c>
      <c r="H19" s="54"/>
    </row>
    <row r="20" spans="1:12" s="60" customFormat="1" ht="12" customHeight="1" x14ac:dyDescent="0.2">
      <c r="A20" s="155" t="s">
        <v>59</v>
      </c>
      <c r="B20" s="156"/>
      <c r="C20" s="115">
        <f>+C10+C19</f>
        <v>447</v>
      </c>
      <c r="D20" s="121">
        <v>100</v>
      </c>
      <c r="E20" s="124">
        <v>38.926174496644293</v>
      </c>
      <c r="F20" s="115">
        <f>+F10+F19</f>
        <v>442</v>
      </c>
      <c r="G20" s="116">
        <f>+C20/F20-1</f>
        <v>1.1312217194570096E-2</v>
      </c>
      <c r="H20" s="54"/>
    </row>
    <row r="21" spans="1:12" s="60" customFormat="1" x14ac:dyDescent="0.2">
      <c r="A21" s="64"/>
      <c r="B21" s="64"/>
      <c r="C21" s="62"/>
      <c r="D21" s="61"/>
      <c r="E21" s="63"/>
      <c r="F21" s="62"/>
      <c r="G21" s="61"/>
      <c r="H21" s="54"/>
    </row>
    <row r="22" spans="1:12" s="60" customFormat="1" ht="15" customHeight="1" x14ac:dyDescent="0.2">
      <c r="A22" s="150" t="s">
        <v>58</v>
      </c>
      <c r="B22" s="150"/>
      <c r="C22" s="150"/>
      <c r="D22" s="150"/>
      <c r="E22" s="150"/>
      <c r="G22" s="42"/>
      <c r="H22" s="54"/>
    </row>
    <row r="23" spans="1:12" s="60" customFormat="1" ht="23.25" customHeight="1" x14ac:dyDescent="0.2">
      <c r="A23" s="151" t="s">
        <v>108</v>
      </c>
      <c r="B23" s="151"/>
      <c r="C23" s="151"/>
      <c r="D23" s="151"/>
      <c r="E23" s="151"/>
      <c r="F23" s="151"/>
      <c r="G23" s="151"/>
      <c r="H23" s="54"/>
    </row>
    <row r="24" spans="1:12" s="60" customFormat="1" ht="18.75" customHeight="1" x14ac:dyDescent="0.2">
      <c r="A24" s="157" t="s">
        <v>54</v>
      </c>
      <c r="B24" s="157"/>
      <c r="C24" s="157"/>
      <c r="D24" s="157"/>
      <c r="E24" s="157"/>
      <c r="F24" s="157"/>
      <c r="G24" s="157"/>
      <c r="H24" s="54"/>
    </row>
    <row r="25" spans="1:12" ht="23.25" customHeight="1" x14ac:dyDescent="0.2">
      <c r="A25" s="152" t="s">
        <v>87</v>
      </c>
      <c r="B25" s="152"/>
      <c r="C25" s="152"/>
      <c r="D25" s="152"/>
      <c r="E25" s="152"/>
      <c r="F25" s="152"/>
      <c r="G25" s="152"/>
      <c r="H25" s="59"/>
      <c r="I25" s="59"/>
      <c r="J25" s="59"/>
      <c r="K25" s="59"/>
      <c r="L25" s="59"/>
    </row>
    <row r="31" spans="1:12" x14ac:dyDescent="0.2">
      <c r="C31" s="58"/>
    </row>
  </sheetData>
  <mergeCells count="7">
    <mergeCell ref="A3:H3"/>
    <mergeCell ref="A22:E22"/>
    <mergeCell ref="A23:G23"/>
    <mergeCell ref="A25:G25"/>
    <mergeCell ref="A5:B5"/>
    <mergeCell ref="A20:B20"/>
    <mergeCell ref="A24:G24"/>
  </mergeCells>
  <pageMargins left="0.51181102362204722" right="0" top="0.27559055118110237" bottom="0.15748031496062992" header="0.31496062992125984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opLeftCell="A10" zoomScaleNormal="100" workbookViewId="0">
      <selection activeCell="K31" sqref="K31"/>
    </sheetView>
  </sheetViews>
  <sheetFormatPr baseColWidth="10" defaultRowHeight="12.75" x14ac:dyDescent="0.2"/>
  <cols>
    <col min="1" max="1" width="19.42578125" customWidth="1"/>
    <col min="2" max="9" width="10.7109375" customWidth="1"/>
    <col min="10" max="10" width="9.7109375" customWidth="1"/>
    <col min="11" max="11" width="9.42578125" customWidth="1"/>
  </cols>
  <sheetData>
    <row r="1" spans="1:11" s="52" customFormat="1" ht="17.25" thickBot="1" x14ac:dyDescent="0.25">
      <c r="A1" s="91" t="str">
        <f>'6.04 Notice'!A8</f>
        <v>6.04 Les sections de techniciens supérieurs et assimilés</v>
      </c>
      <c r="B1" s="88"/>
      <c r="C1" s="88"/>
      <c r="D1" s="88"/>
      <c r="E1" s="88"/>
      <c r="F1" s="88"/>
    </row>
    <row r="2" spans="1:11" s="52" customFormat="1" ht="15.75" thickTop="1" x14ac:dyDescent="0.2">
      <c r="A2" s="53"/>
    </row>
    <row r="3" spans="1:11" s="52" customFormat="1" ht="15" customHeight="1" x14ac:dyDescent="0.2">
      <c r="A3" s="110" t="str">
        <f>'6.04 Notice'!A16</f>
        <v>[3] Effectifs des étudiants inscrits en STS et assimilés selon la catégorie de spécialité, entre 2016 et 2025</v>
      </c>
    </row>
    <row r="4" spans="1:11" s="44" customFormat="1" ht="11.25" x14ac:dyDescent="0.2"/>
    <row r="5" spans="1:11" s="44" customFormat="1" ht="11.25" x14ac:dyDescent="0.2"/>
    <row r="6" spans="1:11" s="44" customFormat="1" ht="11.25" x14ac:dyDescent="0.2">
      <c r="A6" s="51"/>
      <c r="B6" s="50">
        <v>2016</v>
      </c>
      <c r="C6" s="50">
        <v>2017</v>
      </c>
      <c r="D6" s="50">
        <v>2018</v>
      </c>
      <c r="E6" s="50">
        <v>2019</v>
      </c>
      <c r="F6" s="50">
        <v>2020</v>
      </c>
      <c r="G6" s="50">
        <v>2021</v>
      </c>
      <c r="H6" s="50">
        <v>2022</v>
      </c>
      <c r="I6" s="50">
        <v>2023</v>
      </c>
      <c r="J6" s="50">
        <v>2024</v>
      </c>
      <c r="K6" s="50">
        <v>2025</v>
      </c>
    </row>
    <row r="7" spans="1:11" s="44" customFormat="1" ht="11.25" x14ac:dyDescent="0.2">
      <c r="A7" s="44" t="s">
        <v>57</v>
      </c>
      <c r="B7" s="47">
        <f>59+61</f>
        <v>120</v>
      </c>
      <c r="C7" s="47">
        <f>61+40</f>
        <v>101</v>
      </c>
      <c r="D7" s="47">
        <f>75+50</f>
        <v>125</v>
      </c>
      <c r="E7" s="47">
        <f>59+46</f>
        <v>105</v>
      </c>
      <c r="F7" s="47">
        <f>67+43</f>
        <v>110</v>
      </c>
      <c r="G7" s="47">
        <f>57+58</f>
        <v>115</v>
      </c>
      <c r="H7" s="44">
        <f>59+41</f>
        <v>100</v>
      </c>
      <c r="I7" s="44">
        <v>121</v>
      </c>
      <c r="J7" s="44">
        <v>125</v>
      </c>
      <c r="K7" s="44">
        <v>140</v>
      </c>
    </row>
    <row r="8" spans="1:11" s="44" customFormat="1" ht="11.25" x14ac:dyDescent="0.2">
      <c r="A8" s="48" t="s">
        <v>56</v>
      </c>
      <c r="B8" s="49">
        <f>168+117+34</f>
        <v>319</v>
      </c>
      <c r="C8" s="49">
        <f>145+135+26</f>
        <v>306</v>
      </c>
      <c r="D8" s="49">
        <f>194+116+36</f>
        <v>346</v>
      </c>
      <c r="E8" s="49">
        <f>179+152+39</f>
        <v>370</v>
      </c>
      <c r="F8" s="49">
        <f>209+125+33</f>
        <v>367</v>
      </c>
      <c r="G8" s="49">
        <f>174+155+39</f>
        <v>368</v>
      </c>
      <c r="H8" s="49">
        <f>172+105+26</f>
        <v>303</v>
      </c>
      <c r="I8" s="49">
        <v>341</v>
      </c>
      <c r="J8" s="44">
        <v>317</v>
      </c>
      <c r="K8" s="44">
        <v>307</v>
      </c>
    </row>
    <row r="9" spans="1:11" s="48" customFormat="1" ht="11.25" x14ac:dyDescent="0.2">
      <c r="B9" s="49"/>
      <c r="C9" s="49"/>
      <c r="D9" s="49"/>
      <c r="E9" s="49"/>
      <c r="F9" s="49"/>
      <c r="G9" s="49"/>
      <c r="H9" s="49"/>
    </row>
    <row r="10" spans="1:11" s="44" customFormat="1" ht="11.25" x14ac:dyDescent="0.2">
      <c r="A10" s="158" t="s">
        <v>55</v>
      </c>
      <c r="B10" s="158"/>
      <c r="C10" s="158"/>
      <c r="D10" s="158"/>
      <c r="E10" s="42"/>
      <c r="F10" s="42"/>
      <c r="J10" s="42"/>
    </row>
    <row r="11" spans="1:11" s="44" customFormat="1" ht="11.25" x14ac:dyDescent="0.2">
      <c r="B11" s="47"/>
      <c r="C11" s="47"/>
      <c r="D11" s="47"/>
      <c r="E11" s="47"/>
      <c r="F11" s="47"/>
      <c r="G11" s="47"/>
      <c r="H11" s="47"/>
    </row>
    <row r="12" spans="1:11" s="44" customFormat="1" ht="21.75" customHeight="1" x14ac:dyDescent="0.2">
      <c r="A12" s="46" t="s">
        <v>54</v>
      </c>
      <c r="B12" s="45"/>
      <c r="C12" s="45"/>
      <c r="D12" s="45"/>
    </row>
    <row r="13" spans="1:11" s="44" customFormat="1" ht="46.5" customHeight="1" x14ac:dyDescent="0.2">
      <c r="A13" s="152" t="s">
        <v>96</v>
      </c>
      <c r="B13" s="152"/>
      <c r="C13" s="152"/>
      <c r="D13" s="152"/>
      <c r="E13" s="152"/>
      <c r="F13" s="152"/>
      <c r="G13" s="152"/>
      <c r="H13" s="152"/>
      <c r="I13" s="152"/>
      <c r="J13" s="152"/>
    </row>
    <row r="15" spans="1:11" x14ac:dyDescent="0.2">
      <c r="C15" s="43"/>
      <c r="D15" s="43"/>
      <c r="E15" s="43"/>
      <c r="F15" s="43"/>
    </row>
    <row r="16" spans="1:11" x14ac:dyDescent="0.2">
      <c r="C16" s="43"/>
      <c r="D16" s="43"/>
      <c r="E16" s="43"/>
      <c r="F16" s="43"/>
    </row>
    <row r="17" spans="3:6" x14ac:dyDescent="0.2">
      <c r="C17" s="43"/>
      <c r="D17" s="43"/>
      <c r="E17" s="43"/>
      <c r="F17" s="43"/>
    </row>
    <row r="18" spans="3:6" x14ac:dyDescent="0.2">
      <c r="C18" s="43"/>
      <c r="D18" s="43"/>
      <c r="E18" s="43"/>
      <c r="F18" s="43"/>
    </row>
    <row r="33" spans="1:4" x14ac:dyDescent="0.2">
      <c r="A33" s="71" t="s">
        <v>53</v>
      </c>
      <c r="B33" s="71"/>
      <c r="C33" s="71"/>
      <c r="D33" s="71"/>
    </row>
  </sheetData>
  <mergeCells count="2">
    <mergeCell ref="A10:D10"/>
    <mergeCell ref="A13:J1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620C27F-ABDA-4D9D-B1CE-BB2A4973DE7F}">
            <x14:iconSet iconSet="3Triangles">
              <x14:cfvo type="percent">
                <xm:f>0</xm:f>
              </x14:cfvo>
              <x14:cfvo type="num">
                <xm:f>$I$7</xm:f>
              </x14:cfvo>
              <x14:cfvo type="num">
                <xm:f>$I$7</xm:f>
              </x14:cfvo>
            </x14:iconSet>
          </x14:cfRule>
          <xm:sqref>J7</xm:sqref>
        </x14:conditionalFormatting>
        <x14:conditionalFormatting xmlns:xm="http://schemas.microsoft.com/office/excel/2006/main">
          <x14:cfRule type="iconSet" priority="1" id="{33A2D1CA-7E36-4344-9334-3E7322963C2B}">
            <x14:iconSet iconSet="3Triangles">
              <x14:cfvo type="percent">
                <xm:f>0</xm:f>
              </x14:cfvo>
              <x14:cfvo type="num">
                <xm:f>$I$8</xm:f>
              </x14:cfvo>
              <x14:cfvo type="num">
                <xm:f>$I$8</xm:f>
              </x14:cfvo>
            </x14:iconSet>
          </x14:cfRule>
          <xm:sqref>J8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M18"/>
  <sheetViews>
    <sheetView showGridLines="0" zoomScaleNormal="100" workbookViewId="0">
      <selection activeCell="E23" sqref="E23"/>
    </sheetView>
  </sheetViews>
  <sheetFormatPr baseColWidth="10" defaultRowHeight="12.75" x14ac:dyDescent="0.2"/>
  <cols>
    <col min="1" max="1" width="44.28515625" style="26" customWidth="1"/>
    <col min="2" max="11" width="10.7109375" style="24" customWidth="1"/>
    <col min="12" max="16384" width="11.42578125" style="24"/>
  </cols>
  <sheetData>
    <row r="1" spans="1:13" ht="22.5" customHeight="1" thickBot="1" x14ac:dyDescent="0.25">
      <c r="A1" s="90" t="str">
        <f>'6.04 Notice'!A8</f>
        <v>6.04 Les sections de techniciens supérieurs et assimilés</v>
      </c>
      <c r="B1" s="74"/>
      <c r="C1" s="74"/>
      <c r="D1" s="74"/>
      <c r="E1" s="74"/>
    </row>
    <row r="2" spans="1:13" ht="13.5" thickTop="1" x14ac:dyDescent="0.2">
      <c r="A2" s="19"/>
      <c r="B2" s="19"/>
      <c r="C2" s="19"/>
      <c r="D2" s="19"/>
    </row>
    <row r="3" spans="1:13" ht="12.75" customHeight="1" x14ac:dyDescent="0.2">
      <c r="A3" s="159" t="str">
        <f>'6.04 Notice'!A17</f>
        <v xml:space="preserve">[4] Origine scolaire des nouveaux entrants en première année de STS, classes de mise à niveau pour BTS, DTS 2024-2025 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s="3" customFormat="1" ht="11.25" x14ac:dyDescent="0.2">
      <c r="A4" s="20"/>
    </row>
    <row r="5" spans="1:13" s="3" customFormat="1" ht="12.75" customHeight="1" x14ac:dyDescent="0.2">
      <c r="A5" s="171" t="s">
        <v>5</v>
      </c>
      <c r="B5" s="168" t="s">
        <v>25</v>
      </c>
      <c r="C5" s="173" t="s">
        <v>29</v>
      </c>
      <c r="D5" s="173"/>
      <c r="E5" s="173"/>
      <c r="F5" s="161" t="s">
        <v>28</v>
      </c>
      <c r="G5" s="161" t="s">
        <v>19</v>
      </c>
      <c r="H5" s="161" t="s">
        <v>3</v>
      </c>
      <c r="I5" s="161" t="s">
        <v>109</v>
      </c>
      <c r="J5" s="161" t="s">
        <v>89</v>
      </c>
      <c r="K5" s="163" t="s">
        <v>23</v>
      </c>
    </row>
    <row r="6" spans="1:13" s="3" customFormat="1" ht="30.75" customHeight="1" x14ac:dyDescent="0.2">
      <c r="A6" s="172"/>
      <c r="B6" s="169"/>
      <c r="C6" s="98" t="s">
        <v>9</v>
      </c>
      <c r="D6" s="98" t="s">
        <v>8</v>
      </c>
      <c r="E6" s="98" t="s">
        <v>4</v>
      </c>
      <c r="F6" s="162"/>
      <c r="G6" s="162"/>
      <c r="H6" s="162"/>
      <c r="I6" s="162"/>
      <c r="J6" s="162"/>
      <c r="K6" s="164"/>
    </row>
    <row r="7" spans="1:13" s="3" customFormat="1" ht="12" customHeight="1" x14ac:dyDescent="0.2">
      <c r="A7" s="21" t="s">
        <v>6</v>
      </c>
      <c r="B7" s="22">
        <f>12/$I7*100</f>
        <v>16.216216216216218</v>
      </c>
      <c r="C7" s="22">
        <f>13/$I7*100</f>
        <v>17.567567567567568</v>
      </c>
      <c r="D7" s="22">
        <f>2/$I7*100</f>
        <v>2.7027027027027026</v>
      </c>
      <c r="E7" s="22">
        <f>1/$I7*100</f>
        <v>1.3513513513513513</v>
      </c>
      <c r="F7" s="22">
        <f>32/$I7*100</f>
        <v>43.243243243243242</v>
      </c>
      <c r="G7" s="22">
        <f>14/$I7*100</f>
        <v>18.918918918918919</v>
      </c>
      <c r="H7" s="22">
        <f>SUM(B7:G7)</f>
        <v>100.00000000000001</v>
      </c>
      <c r="I7" s="9">
        <v>74</v>
      </c>
      <c r="J7" s="9">
        <v>81</v>
      </c>
      <c r="K7" s="134">
        <f>+(+I7-J7)/I7*100</f>
        <v>-9.4594594594594597</v>
      </c>
      <c r="M7" s="72"/>
    </row>
    <row r="8" spans="1:13" s="3" customFormat="1" ht="12" customHeight="1" x14ac:dyDescent="0.2">
      <c r="A8" s="21" t="s">
        <v>7</v>
      </c>
      <c r="B8" s="22">
        <f>43/$I8*100</f>
        <v>23.497267759562842</v>
      </c>
      <c r="C8" s="22">
        <f>4/$I8*100</f>
        <v>2.1857923497267762</v>
      </c>
      <c r="D8" s="22">
        <f>43/$I8*100</f>
        <v>23.497267759562842</v>
      </c>
      <c r="E8" s="22">
        <f>6/$I8*100</f>
        <v>3.278688524590164</v>
      </c>
      <c r="F8" s="22">
        <f>59/$I8*100</f>
        <v>32.240437158469945</v>
      </c>
      <c r="G8" s="22">
        <f>28/$I8*100</f>
        <v>15.300546448087433</v>
      </c>
      <c r="H8" s="22">
        <f t="shared" ref="H8" si="0">SUM(B8:G8)</f>
        <v>100</v>
      </c>
      <c r="I8" s="9">
        <v>183</v>
      </c>
      <c r="J8" s="9">
        <v>190</v>
      </c>
      <c r="K8" s="135">
        <f>+(+I8-J8)/I8*100</f>
        <v>-3.8251366120218582</v>
      </c>
      <c r="M8" s="72"/>
    </row>
    <row r="9" spans="1:13" s="6" customFormat="1" ht="12" customHeight="1" x14ac:dyDescent="0.2">
      <c r="A9" s="131" t="s">
        <v>3</v>
      </c>
      <c r="B9" s="132">
        <f>47/$I9*100</f>
        <v>18.28793774319066</v>
      </c>
      <c r="C9" s="132">
        <f>18/$I9*100</f>
        <v>7.0038910505836576</v>
      </c>
      <c r="D9" s="132">
        <f>43/$I9*100</f>
        <v>16.731517509727624</v>
      </c>
      <c r="E9" s="132">
        <f>11/$I9*100</f>
        <v>4.2801556420233462</v>
      </c>
      <c r="F9" s="132">
        <f>78/$I9*100</f>
        <v>30.350194552529182</v>
      </c>
      <c r="G9" s="132">
        <f>74/$I9*100</f>
        <v>28.793774319066145</v>
      </c>
      <c r="H9" s="132">
        <f>SUM(B9:G9)</f>
        <v>105.44747081712062</v>
      </c>
      <c r="I9" s="133">
        <f>SUM(I7:I8)</f>
        <v>257</v>
      </c>
      <c r="J9" s="133">
        <f>SUM(J7:J8)</f>
        <v>271</v>
      </c>
      <c r="K9" s="136">
        <f t="shared" ref="K9" si="1">+(+I9-J9)/I9*100</f>
        <v>-5.4474708171206228</v>
      </c>
      <c r="M9" s="130"/>
    </row>
    <row r="10" spans="1:13" s="3" customFormat="1" ht="24" customHeight="1" x14ac:dyDescent="0.2">
      <c r="A10" s="25"/>
      <c r="B10" s="128"/>
      <c r="C10" s="128"/>
      <c r="D10" s="128"/>
      <c r="E10" s="128"/>
      <c r="F10" s="128"/>
      <c r="G10" s="128"/>
      <c r="H10" s="128"/>
      <c r="I10" s="129"/>
      <c r="J10" s="129"/>
      <c r="K10" s="94"/>
      <c r="M10" s="72"/>
    </row>
    <row r="11" spans="1:13" s="7" customFormat="1" ht="12" customHeight="1" x14ac:dyDescent="0.2">
      <c r="A11" s="170" t="s">
        <v>45</v>
      </c>
      <c r="B11" s="170"/>
      <c r="C11" s="170"/>
      <c r="D11" s="170"/>
      <c r="E11" s="170"/>
      <c r="F11" s="170"/>
      <c r="G11" s="170"/>
      <c r="H11" s="170"/>
    </row>
    <row r="12" spans="1:13" s="1" customFormat="1" ht="12" customHeight="1" x14ac:dyDescent="0.2">
      <c r="A12" s="10" t="s">
        <v>42</v>
      </c>
      <c r="B12" s="4"/>
      <c r="C12" s="4"/>
      <c r="D12" s="4"/>
      <c r="E12" s="5"/>
      <c r="F12" s="6"/>
      <c r="G12" s="6"/>
      <c r="H12" s="7"/>
      <c r="I12" s="7"/>
      <c r="J12" s="7"/>
      <c r="K12" s="42"/>
    </row>
    <row r="13" spans="1:13" s="3" customFormat="1" ht="11.25" x14ac:dyDescent="0.2">
      <c r="A13" s="165" t="s">
        <v>20</v>
      </c>
      <c r="B13" s="166"/>
      <c r="C13" s="166"/>
      <c r="D13" s="166"/>
      <c r="E13" s="166"/>
      <c r="F13" s="166"/>
    </row>
    <row r="14" spans="1:13" s="23" customFormat="1" ht="27.75" customHeight="1" x14ac:dyDescent="0.2">
      <c r="A14" s="167" t="s">
        <v>110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</row>
    <row r="15" spans="1:13" ht="12.75" customHeight="1" x14ac:dyDescent="0.2">
      <c r="A15" s="146" t="s">
        <v>41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</row>
    <row r="18" spans="3:3" x14ac:dyDescent="0.2">
      <c r="C18" s="24">
        <f>11+15+37+18</f>
        <v>81</v>
      </c>
    </row>
  </sheetData>
  <mergeCells count="14">
    <mergeCell ref="A3:M3"/>
    <mergeCell ref="A15:M15"/>
    <mergeCell ref="J5:J6"/>
    <mergeCell ref="K5:K6"/>
    <mergeCell ref="A13:F13"/>
    <mergeCell ref="A14:K14"/>
    <mergeCell ref="G5:G6"/>
    <mergeCell ref="B5:B6"/>
    <mergeCell ref="A11:H11"/>
    <mergeCell ref="I5:I6"/>
    <mergeCell ref="A5:A6"/>
    <mergeCell ref="C5:E5"/>
    <mergeCell ref="F5:F6"/>
    <mergeCell ref="H5:H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44"/>
  <sheetViews>
    <sheetView showGridLines="0" tabSelected="1" zoomScaleNormal="100" workbookViewId="0">
      <selection activeCell="N18" sqref="N18"/>
    </sheetView>
  </sheetViews>
  <sheetFormatPr baseColWidth="10" defaultRowHeight="12.75" x14ac:dyDescent="0.2"/>
  <cols>
    <col min="1" max="1" width="58.140625" style="30" customWidth="1"/>
    <col min="2" max="9" width="8.7109375" style="30" customWidth="1"/>
    <col min="10" max="10" width="8.7109375" style="73" customWidth="1"/>
    <col min="11" max="11" width="8.7109375" style="30" customWidth="1"/>
    <col min="12" max="12" width="8.28515625" style="30" customWidth="1"/>
    <col min="13" max="16384" width="11.42578125" style="30"/>
  </cols>
  <sheetData>
    <row r="1" spans="1:12" ht="17.25" thickBot="1" x14ac:dyDescent="0.25">
      <c r="A1" s="90" t="str">
        <f>'6.04 Notice'!A8</f>
        <v>6.04 Les sections de techniciens supérieurs et assimilés</v>
      </c>
    </row>
    <row r="2" spans="1:12" ht="13.5" thickTop="1" x14ac:dyDescent="0.2"/>
    <row r="3" spans="1:12" ht="15" x14ac:dyDescent="0.2">
      <c r="A3" s="109" t="str">
        <f>'6.04 Notice'!A18</f>
        <v>[5] Répartition des étudiants de 1ère année selon la catégorie socioprofessionnelle de leur parent référent</v>
      </c>
    </row>
    <row r="5" spans="1:12" ht="12" customHeight="1" x14ac:dyDescent="0.2">
      <c r="A5" s="51"/>
      <c r="B5" s="140">
        <v>2015</v>
      </c>
      <c r="C5" s="141">
        <v>2016</v>
      </c>
      <c r="D5" s="141">
        <v>2017</v>
      </c>
      <c r="E5" s="141">
        <v>2018</v>
      </c>
      <c r="F5" s="141">
        <v>2019</v>
      </c>
      <c r="G5" s="141">
        <v>2020</v>
      </c>
      <c r="H5" s="141">
        <v>2021</v>
      </c>
      <c r="I5" s="141">
        <v>2022</v>
      </c>
      <c r="J5" s="141">
        <v>2023</v>
      </c>
      <c r="K5" s="141">
        <v>2024</v>
      </c>
      <c r="L5" s="141">
        <v>2025</v>
      </c>
    </row>
    <row r="6" spans="1:12" ht="12" customHeight="1" x14ac:dyDescent="0.2">
      <c r="A6" s="67" t="s">
        <v>13</v>
      </c>
      <c r="B6" s="137">
        <f>43/254*100</f>
        <v>16.929133858267718</v>
      </c>
      <c r="C6" s="137">
        <f>0.14453125*100</f>
        <v>14.453125</v>
      </c>
      <c r="D6" s="137">
        <f>27/221*100</f>
        <v>12.217194570135746</v>
      </c>
      <c r="E6" s="137">
        <f>49/309*100</f>
        <v>15.857605177993527</v>
      </c>
      <c r="F6" s="137">
        <f>43/277*100</f>
        <v>15.523465703971121</v>
      </c>
      <c r="G6" s="137">
        <f>53/304*100</f>
        <v>17.434210526315788</v>
      </c>
      <c r="H6" s="137">
        <f>47/264*100</f>
        <v>17.803030303030305</v>
      </c>
      <c r="I6" s="137">
        <f>54/254*100</f>
        <v>21.259842519685041</v>
      </c>
      <c r="J6" s="138">
        <f>20/292*100</f>
        <v>6.8493150684931505</v>
      </c>
      <c r="K6" s="29">
        <v>6.3</v>
      </c>
      <c r="L6" s="29">
        <v>16</v>
      </c>
    </row>
    <row r="7" spans="1:12" ht="12" customHeight="1" x14ac:dyDescent="0.2">
      <c r="A7" s="67" t="s">
        <v>14</v>
      </c>
      <c r="B7" s="137">
        <f>23/254*100</f>
        <v>9.0551181102362204</v>
      </c>
      <c r="C7" s="139">
        <f>0.1796875*100</f>
        <v>17.96875</v>
      </c>
      <c r="D7" s="139">
        <f>24/221*100</f>
        <v>10.859728506787331</v>
      </c>
      <c r="E7" s="139">
        <f>42/309*100</f>
        <v>13.592233009708737</v>
      </c>
      <c r="F7" s="139">
        <f>39/277*100</f>
        <v>14.079422382671481</v>
      </c>
      <c r="G7" s="139">
        <f>36/304*100</f>
        <v>11.842105263157894</v>
      </c>
      <c r="H7" s="139">
        <f>19/264*100</f>
        <v>7.1969696969696972</v>
      </c>
      <c r="I7" s="139">
        <f>27/254*100</f>
        <v>10.62992125984252</v>
      </c>
      <c r="J7" s="138">
        <f>32/292*100</f>
        <v>10.95890410958904</v>
      </c>
      <c r="K7" s="29">
        <v>9.1999999999999993</v>
      </c>
      <c r="L7" s="29">
        <v>14.4</v>
      </c>
    </row>
    <row r="8" spans="1:12" ht="12" customHeight="1" x14ac:dyDescent="0.2">
      <c r="A8" s="67" t="s">
        <v>15</v>
      </c>
      <c r="B8" s="137">
        <f>28/254*100</f>
        <v>11.023622047244094</v>
      </c>
      <c r="C8" s="137">
        <f>0.1171875*100</f>
        <v>11.71875</v>
      </c>
      <c r="D8" s="137">
        <f t="shared" ref="D8" si="0">27/221*100</f>
        <v>12.217194570135746</v>
      </c>
      <c r="E8" s="137">
        <f>54/309*100</f>
        <v>17.475728155339805</v>
      </c>
      <c r="F8" s="137">
        <f>39/277*100</f>
        <v>14.079422382671481</v>
      </c>
      <c r="G8" s="137">
        <f>30/304*100</f>
        <v>9.8684210526315788</v>
      </c>
      <c r="H8" s="137">
        <f>35/264*100</f>
        <v>13.257575757575758</v>
      </c>
      <c r="I8" s="137">
        <f>23/254*100</f>
        <v>9.0551181102362204</v>
      </c>
      <c r="J8" s="138">
        <f>35/292*100</f>
        <v>11.986301369863012</v>
      </c>
      <c r="K8" s="29">
        <v>12.5</v>
      </c>
      <c r="L8" s="29">
        <v>10.9</v>
      </c>
    </row>
    <row r="9" spans="1:12" ht="12" customHeight="1" x14ac:dyDescent="0.2">
      <c r="A9" s="67" t="s">
        <v>16</v>
      </c>
      <c r="B9" s="137">
        <f>55/254*100</f>
        <v>21.653543307086615</v>
      </c>
      <c r="C9" s="137">
        <f>0.22265625*100</f>
        <v>22.265625</v>
      </c>
      <c r="D9" s="137">
        <f>41/221*100</f>
        <v>18.552036199095024</v>
      </c>
      <c r="E9" s="137">
        <f>63/309*100</f>
        <v>20.388349514563107</v>
      </c>
      <c r="F9" s="137">
        <f>53/277*100</f>
        <v>19.133574007220215</v>
      </c>
      <c r="G9" s="137">
        <f>79/304*100</f>
        <v>25.986842105263158</v>
      </c>
      <c r="H9" s="137">
        <f>50/264*100</f>
        <v>18.939393939393938</v>
      </c>
      <c r="I9" s="137">
        <f>64/254*100</f>
        <v>25.196850393700785</v>
      </c>
      <c r="J9" s="138">
        <f>96/292*100</f>
        <v>32.87671232876712</v>
      </c>
      <c r="K9" s="29">
        <v>27.7</v>
      </c>
      <c r="L9" s="29">
        <v>26.1</v>
      </c>
    </row>
    <row r="10" spans="1:12" ht="12" customHeight="1" x14ac:dyDescent="0.2">
      <c r="A10" s="67" t="s">
        <v>17</v>
      </c>
      <c r="B10" s="137">
        <f>53/254*100</f>
        <v>20.866141732283463</v>
      </c>
      <c r="C10" s="137">
        <f>0.19140625*100</f>
        <v>19.140625</v>
      </c>
      <c r="D10" s="137">
        <f>49/221*100</f>
        <v>22.171945701357465</v>
      </c>
      <c r="E10" s="137">
        <f>59/309*100</f>
        <v>19.093851132686083</v>
      </c>
      <c r="F10" s="137">
        <f>61/277*100</f>
        <v>22.021660649819495</v>
      </c>
      <c r="G10" s="137">
        <f>58/304*100</f>
        <v>19.078947368421055</v>
      </c>
      <c r="H10" s="137">
        <f>59/264*100</f>
        <v>22.348484848484848</v>
      </c>
      <c r="I10" s="137">
        <f>51/254*100</f>
        <v>20.078740157480315</v>
      </c>
      <c r="J10" s="138">
        <f>11/292*100</f>
        <v>3.7671232876712328</v>
      </c>
      <c r="K10" s="29">
        <v>4.8</v>
      </c>
      <c r="L10" s="29">
        <v>21.4</v>
      </c>
    </row>
    <row r="11" spans="1:12" ht="12" customHeight="1" x14ac:dyDescent="0.2">
      <c r="A11" s="67" t="s">
        <v>43</v>
      </c>
      <c r="B11" s="137">
        <f>52/254*100</f>
        <v>20.472440944881889</v>
      </c>
      <c r="C11" s="139">
        <f>0.14453125*100</f>
        <v>14.453125</v>
      </c>
      <c r="D11" s="139">
        <f>53/221*100</f>
        <v>23.981900452488688</v>
      </c>
      <c r="E11" s="139">
        <f>42/309*100</f>
        <v>13.592233009708737</v>
      </c>
      <c r="F11" s="139">
        <f>42/277*100</f>
        <v>15.162454873646208</v>
      </c>
      <c r="G11" s="139">
        <f>48/304*100</f>
        <v>15.789473684210526</v>
      </c>
      <c r="H11" s="139">
        <f>54/264*100</f>
        <v>20.454545454545457</v>
      </c>
      <c r="I11" s="139">
        <f>35/254*100</f>
        <v>13.779527559055119</v>
      </c>
      <c r="J11" s="138">
        <f>98/292*100</f>
        <v>33.561643835616437</v>
      </c>
      <c r="K11" s="29">
        <v>39.5</v>
      </c>
      <c r="L11" s="29">
        <v>11.2</v>
      </c>
    </row>
    <row r="12" spans="1:12" ht="12" customHeight="1" x14ac:dyDescent="0.2">
      <c r="A12" s="142" t="s">
        <v>18</v>
      </c>
      <c r="B12" s="143">
        <f>SUM(B6:B11)</f>
        <v>100</v>
      </c>
      <c r="C12" s="143">
        <f>SUM(C6:C11)</f>
        <v>100</v>
      </c>
      <c r="D12" s="143">
        <f>SUM(D6:D11)</f>
        <v>100.00000000000001</v>
      </c>
      <c r="E12" s="143">
        <f>SUM(E6:E11)</f>
        <v>99.999999999999986</v>
      </c>
      <c r="F12" s="143">
        <f t="shared" ref="F12:I12" si="1">SUM(F6:F11)</f>
        <v>100</v>
      </c>
      <c r="G12" s="143">
        <f t="shared" si="1"/>
        <v>99.999999999999986</v>
      </c>
      <c r="H12" s="143">
        <f t="shared" si="1"/>
        <v>100</v>
      </c>
      <c r="I12" s="143">
        <f t="shared" si="1"/>
        <v>100</v>
      </c>
      <c r="J12" s="143">
        <f>SUM(J6:J11)</f>
        <v>100</v>
      </c>
      <c r="K12" s="143">
        <f>SUM(K6:K11)</f>
        <v>100</v>
      </c>
      <c r="L12" s="143">
        <f>SUM(L6:L11)</f>
        <v>100.00000000000001</v>
      </c>
    </row>
    <row r="13" spans="1:12" ht="12" customHeight="1" x14ac:dyDescent="0.2">
      <c r="A13" s="77"/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2" s="86" customFormat="1" x14ac:dyDescent="0.2">
      <c r="A14" s="170" t="s">
        <v>45</v>
      </c>
      <c r="B14" s="170"/>
      <c r="C14" s="170"/>
      <c r="D14" s="170"/>
      <c r="E14" s="170"/>
      <c r="F14" s="170"/>
      <c r="G14" s="170"/>
      <c r="H14" s="170"/>
      <c r="J14" s="87"/>
    </row>
    <row r="15" spans="1:12" ht="24" customHeight="1" x14ac:dyDescent="0.2">
      <c r="A15" s="146" t="s">
        <v>84</v>
      </c>
      <c r="B15" s="146"/>
      <c r="C15" s="146"/>
      <c r="D15" s="146"/>
    </row>
    <row r="16" spans="1:12" x14ac:dyDescent="0.2">
      <c r="A16" s="174" t="s">
        <v>44</v>
      </c>
      <c r="B16" s="146"/>
      <c r="C16" s="146"/>
      <c r="D16" s="146"/>
    </row>
    <row r="17" spans="2:9" x14ac:dyDescent="0.2">
      <c r="B17" s="31"/>
      <c r="C17" s="31"/>
      <c r="D17" s="31"/>
      <c r="E17" s="31"/>
      <c r="F17" s="31"/>
      <c r="G17" s="31"/>
      <c r="H17" s="31"/>
      <c r="I17" s="31"/>
    </row>
    <row r="18" spans="2:9" x14ac:dyDescent="0.2">
      <c r="F18" s="32"/>
    </row>
    <row r="43" spans="1:4" x14ac:dyDescent="0.2">
      <c r="A43" s="27" t="s">
        <v>45</v>
      </c>
      <c r="B43" s="28"/>
      <c r="C43" s="29"/>
      <c r="D43" s="29"/>
    </row>
    <row r="44" spans="1:4" ht="39" customHeight="1" x14ac:dyDescent="0.2">
      <c r="A44" s="146" t="s">
        <v>30</v>
      </c>
      <c r="B44" s="146"/>
      <c r="C44" s="146"/>
      <c r="D44" s="146"/>
    </row>
  </sheetData>
  <mergeCells count="4">
    <mergeCell ref="A14:H14"/>
    <mergeCell ref="A44:D44"/>
    <mergeCell ref="A15:D15"/>
    <mergeCell ref="A16:D16"/>
  </mergeCells>
  <pageMargins left="0.7" right="0.7" top="0.75" bottom="0.75" header="0.3" footer="0.3"/>
  <pageSetup paperSize="9" scale="61" orientation="landscape" r:id="rId1"/>
  <ignoredErrors>
    <ignoredError sqref="L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BB2F1B4-477E-4F8D-9EE9-A8FC4C50A7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6.04 Notice</vt:lpstr>
      <vt:lpstr>6.04 Tableau 1</vt:lpstr>
      <vt:lpstr>6.04 Tableau 2</vt:lpstr>
      <vt:lpstr>6.04 Tableau 3</vt:lpstr>
      <vt:lpstr>6.04 Tableau 4</vt:lpstr>
      <vt:lpstr>6.04 Graphique 5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;6.12</dc:title>
  <dc:creator>DEPP-MENJ - Ministère de l'Education nationale et de la Jeunesse;Direction de l'évaluation de la prospective et de la performance</dc:creator>
  <cp:lastModifiedBy>Santa Susini</cp:lastModifiedBy>
  <cp:lastPrinted>2024-12-11T13:36:36Z</cp:lastPrinted>
  <dcterms:created xsi:type="dcterms:W3CDTF">2009-04-22T08:08:29Z</dcterms:created>
  <dcterms:modified xsi:type="dcterms:W3CDTF">2025-12-05T08:55:04Z</dcterms:modified>
  <cp:contentStatus>Publié</cp:contentStatus>
</cp:coreProperties>
</file>