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susini\Nextcloud2\Stats corses\2023\"/>
    </mc:Choice>
  </mc:AlternateContent>
  <bookViews>
    <workbookView xWindow="0" yWindow="0" windowWidth="25200" windowHeight="9225" activeTab="2"/>
  </bookViews>
  <sheets>
    <sheet name="5.02 Notice" sheetId="13" r:id="rId1"/>
    <sheet name="5.02 Graphique 1" sheetId="12" r:id="rId2"/>
    <sheet name="5.02 Tableau 2" sheetId="2" r:id="rId3"/>
  </sheets>
  <calcPr calcId="162913"/>
</workbook>
</file>

<file path=xl/calcChain.xml><?xml version="1.0" encoding="utf-8"?>
<calcChain xmlns="http://schemas.openxmlformats.org/spreadsheetml/2006/main">
  <c r="O22" i="2" l="1"/>
  <c r="O21" i="2"/>
  <c r="O20" i="2"/>
  <c r="O19" i="2"/>
  <c r="O9" i="2"/>
  <c r="O8" i="2"/>
  <c r="O7" i="2"/>
  <c r="L22" i="2"/>
  <c r="L21" i="2"/>
  <c r="L20" i="2"/>
  <c r="L19" i="2"/>
  <c r="L14" i="2"/>
  <c r="L13" i="2"/>
  <c r="L11" i="2"/>
  <c r="L9" i="2"/>
  <c r="L8" i="2"/>
  <c r="I22" i="2"/>
  <c r="I21" i="2"/>
  <c r="I20" i="2"/>
  <c r="I19" i="2"/>
  <c r="I13" i="2"/>
  <c r="I7" i="2"/>
  <c r="F21" i="2"/>
  <c r="F19" i="2"/>
  <c r="F18" i="2"/>
  <c r="F13" i="2"/>
  <c r="C21" i="2"/>
  <c r="C19" i="2"/>
  <c r="B17" i="2"/>
  <c r="C17" i="2" s="1"/>
  <c r="C16" i="2"/>
  <c r="C14" i="2"/>
  <c r="C13" i="2"/>
  <c r="A3" i="2" l="1"/>
  <c r="A3" i="12"/>
  <c r="R17" i="2" l="1"/>
  <c r="R21" i="2"/>
  <c r="R22" i="2"/>
  <c r="Q21" i="2"/>
  <c r="R20" i="2"/>
  <c r="R19" i="2"/>
  <c r="R18" i="2"/>
  <c r="R16" i="2"/>
  <c r="R14" i="2"/>
  <c r="R13" i="2"/>
  <c r="R12" i="2"/>
  <c r="R11" i="2"/>
  <c r="O17" i="2"/>
  <c r="R10" i="2"/>
  <c r="R9" i="2"/>
  <c r="R8" i="2"/>
  <c r="H17" i="2"/>
  <c r="I17" i="2" s="1"/>
  <c r="H23" i="2"/>
  <c r="I23" i="2" s="1"/>
  <c r="K23" i="2"/>
  <c r="L23" i="2" s="1"/>
  <c r="Q7" i="2"/>
  <c r="R7" i="2" s="1"/>
  <c r="Q22" i="2"/>
  <c r="Q20" i="2"/>
  <c r="Q19" i="2"/>
  <c r="Q18" i="2"/>
  <c r="Q16" i="2"/>
  <c r="Q14" i="2"/>
  <c r="Q13" i="2"/>
  <c r="Q12" i="2"/>
  <c r="Q11" i="2"/>
  <c r="Q8" i="2"/>
  <c r="Q9" i="2"/>
  <c r="N23" i="2"/>
  <c r="O23" i="2" s="1"/>
  <c r="E17" i="2"/>
  <c r="F17" i="2" s="1"/>
  <c r="E23" i="2"/>
  <c r="F23" i="2" s="1"/>
  <c r="C10" i="2"/>
  <c r="E10" i="2"/>
  <c r="F10" i="2"/>
  <c r="H10" i="2"/>
  <c r="I10" i="2"/>
  <c r="B10" i="2"/>
  <c r="N10" i="2"/>
  <c r="O10" i="2" s="1"/>
  <c r="N17" i="2"/>
  <c r="K10" i="2"/>
  <c r="L10" i="2" s="1"/>
  <c r="K17" i="2"/>
  <c r="L17" i="2" s="1"/>
  <c r="B23" i="2"/>
  <c r="C23" i="2" s="1"/>
  <c r="H24" i="2" l="1"/>
  <c r="Q10" i="2"/>
  <c r="E24" i="2"/>
  <c r="Q23" i="2"/>
  <c r="Q17" i="2"/>
  <c r="K24" i="2"/>
  <c r="N24" i="2"/>
  <c r="O24" i="2" s="1"/>
  <c r="B24" i="2"/>
  <c r="G17" i="2" l="1"/>
  <c r="F24" i="2"/>
  <c r="J22" i="2"/>
  <c r="J16" i="2"/>
  <c r="J13" i="2"/>
  <c r="I24" i="2"/>
  <c r="J7" i="2"/>
  <c r="M9" i="2"/>
  <c r="L24" i="2"/>
  <c r="D24" i="2"/>
  <c r="D21" i="2"/>
  <c r="C24" i="2"/>
  <c r="J10" i="2"/>
  <c r="P24" i="2"/>
  <c r="P20" i="2"/>
  <c r="P7" i="2"/>
  <c r="P23" i="2"/>
  <c r="P19" i="2"/>
  <c r="P8" i="2"/>
  <c r="P22" i="2"/>
  <c r="P17" i="2"/>
  <c r="P9" i="2"/>
  <c r="P21" i="2"/>
  <c r="P10" i="2"/>
  <c r="M24" i="2"/>
  <c r="M20" i="2"/>
  <c r="M14" i="2"/>
  <c r="M8" i="2"/>
  <c r="M19" i="2"/>
  <c r="M13" i="2"/>
  <c r="M23" i="2"/>
  <c r="M22" i="2"/>
  <c r="M17" i="2"/>
  <c r="M11" i="2"/>
  <c r="M21" i="2"/>
  <c r="M16" i="2"/>
  <c r="M10" i="2"/>
  <c r="J24" i="2"/>
  <c r="J19" i="2"/>
  <c r="J23" i="2"/>
  <c r="J21" i="2"/>
  <c r="J20" i="2"/>
  <c r="J17" i="2"/>
  <c r="G24" i="2"/>
  <c r="G16" i="2"/>
  <c r="G23" i="2"/>
  <c r="G19" i="2"/>
  <c r="G13" i="2"/>
  <c r="G18" i="2"/>
  <c r="G14" i="2"/>
  <c r="G21" i="2"/>
  <c r="D13" i="2"/>
  <c r="D16" i="2"/>
  <c r="D14" i="2"/>
  <c r="D19" i="2"/>
  <c r="D23" i="2"/>
  <c r="D10" i="2"/>
  <c r="D17" i="2"/>
  <c r="G10" i="2"/>
  <c r="R23" i="2"/>
  <c r="R24" i="2" s="1"/>
  <c r="Q24" i="2"/>
  <c r="S14" i="2" s="1"/>
  <c r="S12" i="2" l="1"/>
  <c r="S20" i="2"/>
  <c r="S8" i="2"/>
  <c r="S13" i="2"/>
  <c r="S23" i="2"/>
  <c r="S16" i="2"/>
  <c r="S19" i="2"/>
  <c r="S7" i="2"/>
  <c r="S9" i="2"/>
  <c r="S17" i="2"/>
  <c r="S11" i="2"/>
  <c r="S22" i="2"/>
  <c r="S10" i="2"/>
  <c r="S21" i="2"/>
  <c r="S18" i="2"/>
  <c r="S24" i="2" l="1"/>
</calcChain>
</file>

<file path=xl/sharedStrings.xml><?xml version="1.0" encoding="utf-8"?>
<sst xmlns="http://schemas.openxmlformats.org/spreadsheetml/2006/main" count="81" uniqueCount="61">
  <si>
    <t>Total</t>
  </si>
  <si>
    <t>Effectifs</t>
  </si>
  <si>
    <t>11 - Mathématiques et sciences</t>
  </si>
  <si>
    <t>12 - Sciences humaines et droit</t>
  </si>
  <si>
    <t>13 - Lettres et arts</t>
  </si>
  <si>
    <t>Domaines disciplinaires</t>
  </si>
  <si>
    <t>20 - Spécialités pluritechnologiques de la production</t>
  </si>
  <si>
    <t>21 - Agriculture, pêche, forêt</t>
  </si>
  <si>
    <t>22 - Transformations</t>
  </si>
  <si>
    <t>23 - Génie civil, constructions, bois</t>
  </si>
  <si>
    <t>24 - Matériaux souples</t>
  </si>
  <si>
    <t>25 - Mécanique, électricité, électronique</t>
  </si>
  <si>
    <t>30 - Spécialités plurivalentes des services</t>
  </si>
  <si>
    <t>32 - Communication et information</t>
  </si>
  <si>
    <t>33 - Services aux personnes</t>
  </si>
  <si>
    <t>34 - Services à la collectivité</t>
  </si>
  <si>
    <t xml:space="preserve">Ensemble </t>
  </si>
  <si>
    <t>Domaines de la production</t>
  </si>
  <si>
    <t>Domaines de spécialités</t>
  </si>
  <si>
    <t>Répartition (%)</t>
  </si>
  <si>
    <t>Part des filles (%)</t>
  </si>
  <si>
    <t>31 - Échanges et gestion</t>
  </si>
  <si>
    <t>2017</t>
  </si>
  <si>
    <t>2018</t>
  </si>
  <si>
    <t>[1] Évolution des effectifs par domaine de spécialité</t>
  </si>
  <si>
    <t>Domaines des services</t>
  </si>
  <si>
    <t>2019</t>
  </si>
  <si>
    <t>2020</t>
  </si>
  <si>
    <t xml:space="preserve"> Niveau 3</t>
  </si>
  <si>
    <t xml:space="preserve"> Niveau 4</t>
  </si>
  <si>
    <t xml:space="preserve"> Niveau 5</t>
  </si>
  <si>
    <t xml:space="preserve"> Niveau 6</t>
  </si>
  <si>
    <t xml:space="preserve"> Niveaux 7 et 8</t>
  </si>
  <si>
    <t>Source : DEPP / Système d'information sur la formation des apprentis (SIFA). Situation au 31 décembre de l'année scolaire.</t>
  </si>
  <si>
    <t>Sommaire</t>
  </si>
  <si>
    <t>Précisions</t>
  </si>
  <si>
    <r>
      <t>Spécialités de formations</t>
    </r>
    <r>
      <rPr>
        <sz val="8"/>
        <color rgb="FF000000"/>
        <rFont val="Arial"/>
        <family val="2"/>
      </rPr>
      <t xml:space="preserve"> - La nomenclature utilisée est celle des spécialités de formations, établie par le Conseil national de l’information statistique (CNIS) en décembre 1993. Le niveau de classement retenu est le niveau 17, dit des « domaines de spécialités ».</t>
    </r>
  </si>
  <si>
    <r>
      <t>Nomenclature nationale des niveaux</t>
    </r>
    <r>
      <rPr>
        <sz val="8"/>
        <color rgb="FF000000"/>
        <rFont val="Arial"/>
        <family val="2"/>
      </rPr>
      <t xml:space="preserve"> – La nomenclature des diplômes par niveau utilisée est celle du décret n° 2019-14 du 8 janvier 2019 relatif au cadre national des certifications professionnelles.</t>
    </r>
  </si>
  <si>
    <t>Pour en savoir plus</t>
  </si>
  <si>
    <r>
      <t xml:space="preserve">- </t>
    </r>
    <r>
      <rPr>
        <i/>
        <sz val="8"/>
        <color rgb="FF000000"/>
        <rFont val="Arial"/>
        <family val="2"/>
      </rPr>
      <t>Note d’Information</t>
    </r>
    <r>
      <rPr>
        <sz val="8"/>
        <color rgb="FF000000"/>
        <rFont val="Arial"/>
        <family val="2"/>
      </rPr>
      <t> 21.30.</t>
    </r>
  </si>
  <si>
    <t>- Les séries chronologiques : les apprentis.</t>
  </si>
  <si>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</si>
  <si>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</si>
  <si>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</si>
  <si>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</si>
  <si>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</si>
  <si>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</si>
  <si>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</si>
  <si>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</si>
  <si>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Champ : Région Corse</t>
  </si>
  <si>
    <t>Actualisé le</t>
  </si>
  <si>
    <t>Repères statistiques corses</t>
  </si>
  <si>
    <t>Publication annuelle de la division de la prospective et des statistiques académiques (DPSA) de l'Académie de Corse.</t>
  </si>
  <si>
    <t>https://www.ac-corse.fr/l-academie-en-chiffres-123583</t>
  </si>
  <si>
    <t>5.02 Les apprentis par spécialité de formation</t>
  </si>
  <si>
    <t>RERS 5.02 Les apprentis par spécialité de formation</t>
  </si>
  <si>
    <t>2021</t>
  </si>
  <si>
    <t>[2] Effectifs des apprentis par domaine de spécialités et niveau de formation en 2021-2022</t>
  </si>
  <si>
    <t>RERS 2023</t>
  </si>
  <si>
    <r>
      <rPr>
        <b/>
        <i/>
        <sz val="8"/>
        <rFont val="Arial"/>
        <family val="2"/>
      </rPr>
      <t>Lecture 144</t>
    </r>
    <r>
      <rPr>
        <i/>
        <sz val="8"/>
        <rFont val="Arial"/>
        <family val="2"/>
      </rPr>
      <t xml:space="preserve"> apprentis de niveau 6 préparent un diplôme dans le domaine des services. 64,0 % sont des filles. 68 % des apprentis de niveau 6 se forment dans les spécialités des services.</t>
    </r>
  </si>
  <si>
    <t>DPSA, RSC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</si>
</sst>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5" x14ac:knownFonts="1">
    <font>
      <sz val="10"/>
      <name val="Arial"/>
    </font>
    <font>
      <sz val="10"/>
      <name val="Arial"/>
      <family val="2"/>
    </font>
    <font>
      <b/>
      <sz val="8"/>
      <name val="Arial"/>
      <family val="2"/>
    </font>
    <font>
      <sz val="8"/>
      <name val="Arial"/>
      <family val="2"/>
    </font>
    <font>
      <b/>
      <sz val="8"/>
      <color indexed="12"/>
      <name val="Arial"/>
      <family val="2"/>
    </font>
    <font>
      <b/>
      <sz val="9"/>
      <name val="Arial"/>
      <family val="2"/>
    </font>
    <font>
      <b/>
      <sz val="11"/>
      <name val="Arial"/>
      <family val="2"/>
    </font>
    <font>
      <i/>
      <sz val="8"/>
      <name val="Arial"/>
      <family val="2"/>
    </font>
    <font>
      <sz val="10"/>
      <name val="Arial"/>
      <family val="2"/>
    </font>
    <font>
      <u/>
      <sz val="10"/>
      <color indexed="12"/>
      <name val="Arial"/>
      <family val="2"/>
    </font>
    <font>
      <b/>
      <i/>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8"/>
      <color rgb="FF333333"/>
      <name val="Arial"/>
      <family val="2"/>
    </font>
    <font>
      <sz val="7"/>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
      <b/>
      <sz val="15"/>
      <color theme="3"/>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style="thin">
        <color indexed="9"/>
      </left>
      <right style="thin">
        <color indexed="9"/>
      </right>
      <top/>
      <bottom style="thin">
        <color indexed="9"/>
      </bottom>
      <diagonal/>
    </border>
    <border>
      <left/>
      <right style="thin">
        <color theme="0"/>
      </right>
      <top/>
      <bottom/>
      <diagonal/>
    </border>
    <border>
      <left style="thin">
        <color theme="0"/>
      </left>
      <right style="thin">
        <color theme="0"/>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
      <left/>
      <right/>
      <top/>
      <bottom style="thick">
        <color theme="4"/>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64"/>
      </bottom>
      <diagonal/>
    </border>
    <border>
      <left style="thin">
        <color indexed="9"/>
      </left>
      <right style="thin">
        <color auto="1"/>
      </right>
      <top/>
      <bottom/>
      <diagonal/>
    </border>
    <border>
      <left/>
      <right style="thin">
        <color indexed="9"/>
      </right>
      <top/>
      <bottom style="thin">
        <color indexed="9"/>
      </bottom>
      <diagonal/>
    </border>
    <border>
      <left/>
      <right style="thin">
        <color indexed="9"/>
      </right>
      <top style="thin">
        <color indexed="9"/>
      </top>
      <bottom style="thin">
        <color indexed="64"/>
      </bottom>
      <diagonal/>
    </border>
    <border>
      <left style="thin">
        <color indexed="9"/>
      </left>
      <right style="thin">
        <color auto="1"/>
      </right>
      <top/>
      <bottom style="thin">
        <color indexed="9"/>
      </bottom>
      <diagonal/>
    </border>
    <border>
      <left style="thin">
        <color indexed="9"/>
      </left>
      <right style="thin">
        <color auto="1"/>
      </right>
      <top style="thin">
        <color indexed="9"/>
      </top>
      <bottom style="thin">
        <color indexed="64"/>
      </bottom>
      <diagonal/>
    </border>
    <border>
      <left/>
      <right style="thin">
        <color auto="1"/>
      </right>
      <top/>
      <bottom/>
      <diagonal/>
    </border>
  </borders>
  <cellStyleXfs count="8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3" fillId="16" borderId="1"/>
    <xf numFmtId="0" fontId="18" fillId="17" borderId="2" applyNumberFormat="0" applyAlignment="0" applyProtection="0"/>
    <xf numFmtId="0" fontId="3" fillId="0" borderId="3"/>
    <xf numFmtId="0" fontId="14" fillId="18" borderId="5" applyNumberFormat="0" applyAlignment="0" applyProtection="0"/>
    <xf numFmtId="0" fontId="19" fillId="19" borderId="0">
      <alignment horizontal="center"/>
    </xf>
    <xf numFmtId="0" fontId="20" fillId="19" borderId="0">
      <alignment horizontal="center" vertical="center"/>
    </xf>
    <xf numFmtId="0" fontId="8" fillId="20" borderId="0">
      <alignment horizontal="center" wrapText="1"/>
    </xf>
    <xf numFmtId="0" fontId="4" fillId="19" borderId="0">
      <alignment horizontal="center"/>
    </xf>
    <xf numFmtId="166" fontId="21" fillId="0" borderId="0" applyFont="0" applyFill="0" applyBorder="0" applyAlignment="0" applyProtection="0"/>
    <xf numFmtId="167" fontId="8"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0" fontId="22" fillId="21" borderId="1" applyBorder="0">
      <protection locked="0"/>
    </xf>
    <xf numFmtId="0" fontId="23" fillId="0" borderId="0" applyNumberFormat="0" applyFill="0" applyBorder="0" applyAlignment="0" applyProtection="0"/>
    <xf numFmtId="0" fontId="11" fillId="19" borderId="3">
      <alignment horizontal="left"/>
    </xf>
    <xf numFmtId="0" fontId="24" fillId="19" borderId="0">
      <alignment horizontal="left"/>
    </xf>
    <xf numFmtId="0" fontId="25" fillId="4" borderId="0" applyNumberFormat="0" applyBorder="0" applyAlignment="0" applyProtection="0"/>
    <xf numFmtId="0" fontId="26" fillId="22" borderId="0">
      <alignment horizontal="right" vertical="top" textRotation="90" wrapText="1"/>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12" fillId="20" borderId="0">
      <alignment horizontal="center"/>
    </xf>
    <xf numFmtId="0" fontId="3" fillId="19" borderId="9">
      <alignment wrapText="1"/>
    </xf>
    <xf numFmtId="0" fontId="32" fillId="19" borderId="10"/>
    <xf numFmtId="0" fontId="32" fillId="19" borderId="11"/>
    <xf numFmtId="0" fontId="3" fillId="19" borderId="12">
      <alignment horizontal="center" wrapText="1"/>
    </xf>
    <xf numFmtId="0" fontId="9"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0" borderId="0" applyNumberFormat="0" applyFill="0" applyBorder="0" applyAlignment="0" applyProtection="0"/>
    <xf numFmtId="0" fontId="33" fillId="0" borderId="4" applyNumberFormat="0" applyFill="0" applyAlignment="0" applyProtection="0"/>
    <xf numFmtId="0" fontId="8" fillId="0" borderId="0" applyFont="0" applyFill="0" applyBorder="0" applyAlignment="0" applyProtection="0"/>
    <xf numFmtId="0" fontId="34" fillId="23" borderId="0" applyNumberFormat="0" applyBorder="0" applyAlignment="0" applyProtection="0"/>
    <xf numFmtId="0" fontId="35" fillId="0" borderId="0"/>
    <xf numFmtId="0" fontId="42" fillId="0" borderId="0"/>
    <xf numFmtId="0" fontId="8" fillId="0" borderId="0"/>
    <xf numFmtId="0" fontId="15" fillId="0" borderId="0"/>
    <xf numFmtId="0" fontId="8" fillId="0" borderId="0"/>
    <xf numFmtId="0" fontId="8" fillId="0" borderId="0"/>
    <xf numFmtId="0" fontId="15" fillId="0" borderId="0"/>
    <xf numFmtId="0" fontId="42" fillId="0" borderId="0"/>
    <xf numFmtId="0" fontId="36"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NumberFormat="0" applyFont="0" applyFill="0" applyBorder="0" applyAlignment="0" applyProtection="0"/>
    <xf numFmtId="0" fontId="3" fillId="19" borderId="3"/>
    <xf numFmtId="0" fontId="20" fillId="19" borderId="0">
      <alignment horizontal="right"/>
    </xf>
    <xf numFmtId="0" fontId="37" fillId="24" borderId="0">
      <alignment horizontal="center"/>
    </xf>
    <xf numFmtId="0" fontId="38" fillId="20" borderId="0"/>
    <xf numFmtId="0" fontId="39" fillId="22" borderId="14">
      <alignment horizontal="left" vertical="top" wrapText="1"/>
    </xf>
    <xf numFmtId="0" fontId="39" fillId="22" borderId="15">
      <alignment horizontal="left" vertical="top"/>
    </xf>
    <xf numFmtId="37" fontId="40" fillId="0" borderId="0"/>
    <xf numFmtId="0" fontId="19" fillId="19" borderId="0">
      <alignment horizontal="center"/>
    </xf>
    <xf numFmtId="0" fontId="13" fillId="0" borderId="0" applyNumberFormat="0" applyFill="0" applyBorder="0" applyAlignment="0" applyProtection="0"/>
    <xf numFmtId="0" fontId="2" fillId="19" borderId="0"/>
    <xf numFmtId="0" fontId="41" fillId="0" borderId="0" applyNumberFormat="0" applyFill="0" applyBorder="0" applyAlignment="0" applyProtection="0"/>
    <xf numFmtId="0" fontId="1" fillId="0" borderId="0"/>
    <xf numFmtId="0" fontId="54" fillId="0" borderId="24" applyNumberFormat="0" applyFill="0" applyAlignment="0" applyProtection="0"/>
  </cellStyleXfs>
  <cellXfs count="95">
    <xf numFmtId="0" fontId="0" fillId="0" borderId="0" xfId="0"/>
    <xf numFmtId="0" fontId="2" fillId="0" borderId="0" xfId="0" applyFont="1"/>
    <xf numFmtId="0" fontId="3" fillId="0" borderId="0" xfId="0" applyFont="1"/>
    <xf numFmtId="0" fontId="3" fillId="0" borderId="0" xfId="0" applyFont="1" applyBorder="1"/>
    <xf numFmtId="164" fontId="3" fillId="0" borderId="0" xfId="0" applyNumberFormat="1" applyFont="1"/>
    <xf numFmtId="165" fontId="3" fillId="0" borderId="0" xfId="0" applyNumberFormat="1" applyFont="1"/>
    <xf numFmtId="0" fontId="2" fillId="0" borderId="0" xfId="0" applyFont="1" applyBorder="1"/>
    <xf numFmtId="0" fontId="3" fillId="0" borderId="0" xfId="0" applyFont="1" applyFill="1" applyBorder="1"/>
    <xf numFmtId="3" fontId="3" fillId="0" borderId="0" xfId="0" applyNumberFormat="1" applyFont="1"/>
    <xf numFmtId="0" fontId="3" fillId="0" borderId="0" xfId="0" applyFont="1" applyBorder="1" applyAlignment="1">
      <alignment vertical="center"/>
    </xf>
    <xf numFmtId="164" fontId="3" fillId="0" borderId="16" xfId="0" applyNumberFormat="1" applyFont="1" applyBorder="1" applyAlignment="1">
      <alignment horizontal="right"/>
    </xf>
    <xf numFmtId="0" fontId="7" fillId="0" borderId="0" xfId="0" applyFont="1" applyBorder="1" applyAlignment="1"/>
    <xf numFmtId="0" fontId="3" fillId="0" borderId="16" xfId="0" quotePrefix="1" applyNumberFormat="1" applyFont="1" applyFill="1" applyBorder="1" applyAlignment="1">
      <alignment horizontal="right"/>
    </xf>
    <xf numFmtId="0" fontId="3" fillId="0" borderId="16" xfId="0" applyNumberFormat="1" applyFont="1" applyFill="1" applyBorder="1" applyAlignment="1">
      <alignment horizontal="right"/>
    </xf>
    <xf numFmtId="3" fontId="3" fillId="0" borderId="16" xfId="0" applyNumberFormat="1" applyFont="1" applyFill="1" applyBorder="1"/>
    <xf numFmtId="165" fontId="3" fillId="0" borderId="16" xfId="0" applyNumberFormat="1" applyFont="1" applyFill="1" applyBorder="1"/>
    <xf numFmtId="164" fontId="3" fillId="0" borderId="16" xfId="0" applyNumberFormat="1" applyFont="1" applyFill="1" applyBorder="1"/>
    <xf numFmtId="164" fontId="3" fillId="0" borderId="16" xfId="0" applyNumberFormat="1" applyFont="1" applyFill="1" applyBorder="1" applyAlignment="1">
      <alignment horizontal="right"/>
    </xf>
    <xf numFmtId="165" fontId="3" fillId="0" borderId="16" xfId="0" quotePrefix="1" applyNumberFormat="1" applyFont="1" applyFill="1" applyBorder="1" applyAlignment="1">
      <alignment horizontal="right"/>
    </xf>
    <xf numFmtId="0" fontId="3" fillId="0" borderId="0" xfId="0" applyFont="1" applyFill="1"/>
    <xf numFmtId="164" fontId="3" fillId="0" borderId="0" xfId="0" applyNumberFormat="1" applyFont="1" applyFill="1"/>
    <xf numFmtId="164" fontId="3" fillId="0" borderId="0" xfId="0" applyNumberFormat="1" applyFont="1" applyFill="1" applyBorder="1"/>
    <xf numFmtId="165" fontId="3" fillId="0" borderId="0" xfId="0" applyNumberFormat="1" applyFont="1" applyFill="1"/>
    <xf numFmtId="165" fontId="3" fillId="0" borderId="16" xfId="0" applyNumberFormat="1" applyFont="1" applyFill="1" applyBorder="1" applyAlignment="1">
      <alignment horizontal="right"/>
    </xf>
    <xf numFmtId="3" fontId="3" fillId="0" borderId="16" xfId="0" applyNumberFormat="1" applyFont="1" applyFill="1" applyBorder="1" applyAlignment="1">
      <alignment horizontal="right"/>
    </xf>
    <xf numFmtId="0" fontId="2" fillId="0" borderId="0" xfId="0" applyFont="1" applyBorder="1" applyAlignment="1"/>
    <xf numFmtId="165" fontId="0" fillId="0" borderId="0" xfId="0" applyNumberFormat="1"/>
    <xf numFmtId="0" fontId="6" fillId="0" borderId="0" xfId="0" applyFont="1" applyAlignment="1"/>
    <xf numFmtId="49" fontId="2" fillId="0" borderId="20" xfId="0" applyNumberFormat="1" applyFont="1" applyFill="1" applyBorder="1" applyAlignment="1">
      <alignment horizontal="left"/>
    </xf>
    <xf numFmtId="3" fontId="45" fillId="0" borderId="21" xfId="0" applyNumberFormat="1" applyFont="1" applyFill="1" applyBorder="1" applyAlignment="1">
      <alignment horizontal="right"/>
    </xf>
    <xf numFmtId="49" fontId="2" fillId="0" borderId="22" xfId="0" applyNumberFormat="1" applyFont="1" applyFill="1" applyBorder="1" applyAlignment="1">
      <alignment horizontal="left"/>
    </xf>
    <xf numFmtId="3" fontId="45" fillId="0" borderId="23" xfId="0" applyNumberFormat="1" applyFont="1" applyFill="1" applyBorder="1" applyAlignment="1">
      <alignment horizontal="right"/>
    </xf>
    <xf numFmtId="3" fontId="0" fillId="0" borderId="0" xfId="0" applyNumberFormat="1"/>
    <xf numFmtId="3" fontId="3" fillId="0" borderId="18" xfId="0" applyNumberFormat="1" applyFont="1" applyFill="1" applyBorder="1"/>
    <xf numFmtId="165" fontId="3" fillId="0" borderId="0" xfId="0" applyNumberFormat="1" applyFont="1" applyFill="1" applyBorder="1"/>
    <xf numFmtId="3" fontId="2" fillId="0" borderId="0" xfId="0" applyNumberFormat="1" applyFont="1" applyBorder="1"/>
    <xf numFmtId="0" fontId="46" fillId="0" borderId="0" xfId="0" applyFont="1"/>
    <xf numFmtId="0" fontId="46" fillId="0" borderId="0" xfId="0" applyFont="1" applyAlignment="1">
      <alignment vertical="top"/>
    </xf>
    <xf numFmtId="0" fontId="47" fillId="0" borderId="0" xfId="79" applyFont="1"/>
    <xf numFmtId="0" fontId="1" fillId="0" borderId="0" xfId="79"/>
    <xf numFmtId="0" fontId="48" fillId="0" borderId="0" xfId="79" applyFont="1" applyAlignment="1">
      <alignment vertical="center" wrapText="1"/>
    </xf>
    <xf numFmtId="0" fontId="1" fillId="0" borderId="0" xfId="79" applyFont="1"/>
    <xf numFmtId="0" fontId="49" fillId="0" borderId="0" xfId="79" applyFont="1" applyFill="1" applyAlignment="1">
      <alignment vertical="center" wrapText="1"/>
    </xf>
    <xf numFmtId="0" fontId="5" fillId="0" borderId="0" xfId="79" applyFont="1" applyAlignment="1">
      <alignment wrapText="1"/>
    </xf>
    <xf numFmtId="0" fontId="49" fillId="0" borderId="0" xfId="79" applyFont="1" applyFill="1" applyAlignment="1">
      <alignment vertical="center"/>
    </xf>
    <xf numFmtId="0" fontId="50" fillId="0" borderId="0" xfId="79" applyFont="1" applyAlignment="1">
      <alignment horizontal="justify" vertical="center" wrapText="1"/>
    </xf>
    <xf numFmtId="0" fontId="50" fillId="0" borderId="0" xfId="79" applyFont="1" applyAlignment="1">
      <alignment horizontal="left" vertical="center" wrapText="1"/>
    </xf>
    <xf numFmtId="0" fontId="49" fillId="0" borderId="0" xfId="79" applyFont="1" applyAlignment="1">
      <alignment horizontal="justify" vertical="center" wrapText="1"/>
    </xf>
    <xf numFmtId="0" fontId="51" fillId="0" borderId="0" xfId="79" applyFont="1" applyAlignment="1">
      <alignment horizontal="justify" vertical="center" wrapText="1"/>
    </xf>
    <xf numFmtId="0" fontId="49" fillId="0" borderId="0" xfId="79" applyFont="1" applyAlignment="1">
      <alignment vertical="center" wrapText="1"/>
    </xf>
    <xf numFmtId="0" fontId="53" fillId="0" borderId="0" xfId="79" applyFont="1" applyAlignment="1">
      <alignment vertical="center" wrapText="1"/>
    </xf>
    <xf numFmtId="0" fontId="3" fillId="0" borderId="0" xfId="79" applyFont="1" applyAlignment="1">
      <alignment wrapText="1"/>
    </xf>
    <xf numFmtId="0" fontId="3" fillId="0" borderId="0" xfId="79" applyFont="1"/>
    <xf numFmtId="0" fontId="5" fillId="0" borderId="0" xfId="0" applyFont="1" applyAlignment="1"/>
    <xf numFmtId="165" fontId="3" fillId="0" borderId="17" xfId="0" applyNumberFormat="1" applyFont="1" applyFill="1" applyBorder="1"/>
    <xf numFmtId="3" fontId="3" fillId="0" borderId="0" xfId="0" applyNumberFormat="1" applyFont="1" applyFill="1" applyBorder="1"/>
    <xf numFmtId="0" fontId="3" fillId="0" borderId="16" xfId="0" applyFont="1" applyFill="1" applyBorder="1"/>
    <xf numFmtId="0" fontId="2" fillId="0" borderId="0" xfId="0" applyFont="1" applyFill="1"/>
    <xf numFmtId="0" fontId="2" fillId="0" borderId="16" xfId="0" applyFont="1" applyFill="1" applyBorder="1"/>
    <xf numFmtId="3" fontId="2" fillId="0" borderId="16" xfId="0" applyNumberFormat="1" applyFont="1" applyFill="1" applyBorder="1"/>
    <xf numFmtId="164" fontId="2" fillId="0" borderId="16" xfId="0" applyNumberFormat="1" applyFont="1" applyFill="1" applyBorder="1"/>
    <xf numFmtId="3" fontId="2" fillId="0" borderId="17" xfId="0" applyNumberFormat="1" applyFont="1" applyFill="1" applyBorder="1"/>
    <xf numFmtId="170" fontId="47" fillId="0" borderId="0" xfId="58" applyNumberFormat="1" applyFont="1" applyAlignment="1">
      <alignment horizontal="right" wrapText="1"/>
    </xf>
    <xf numFmtId="0" fontId="54" fillId="0" borderId="24" xfId="80"/>
    <xf numFmtId="0" fontId="8" fillId="0" borderId="0" xfId="58"/>
    <xf numFmtId="0" fontId="1" fillId="0" borderId="0" xfId="79" applyFont="1" applyAlignment="1">
      <alignment horizontal="left" vertical="center" wrapText="1"/>
    </xf>
    <xf numFmtId="0" fontId="9" fillId="0" borderId="0" xfId="50" applyAlignment="1" applyProtection="1">
      <alignment vertical="center" wrapText="1"/>
    </xf>
    <xf numFmtId="0" fontId="3" fillId="0" borderId="20" xfId="0" applyFont="1" applyFill="1" applyBorder="1" applyAlignment="1">
      <alignment horizontal="left"/>
    </xf>
    <xf numFmtId="3" fontId="3" fillId="0" borderId="17" xfId="0" applyNumberFormat="1" applyFont="1" applyFill="1" applyBorder="1"/>
    <xf numFmtId="0" fontId="3" fillId="0" borderId="27" xfId="0" applyNumberFormat="1" applyFont="1" applyFill="1" applyBorder="1" applyAlignment="1">
      <alignment horizontal="right"/>
    </xf>
    <xf numFmtId="3" fontId="2" fillId="0" borderId="27" xfId="0" applyNumberFormat="1" applyFont="1" applyFill="1" applyBorder="1"/>
    <xf numFmtId="164" fontId="3" fillId="0" borderId="27" xfId="0" applyNumberFormat="1" applyFont="1" applyFill="1" applyBorder="1" applyAlignment="1">
      <alignment horizontal="right"/>
    </xf>
    <xf numFmtId="164" fontId="3" fillId="0" borderId="27" xfId="0" applyNumberFormat="1" applyFont="1" applyFill="1" applyBorder="1"/>
    <xf numFmtId="3" fontId="2" fillId="0" borderId="32" xfId="0" applyNumberFormat="1" applyFont="1" applyFill="1" applyBorder="1"/>
    <xf numFmtId="165" fontId="3" fillId="0" borderId="27" xfId="0" quotePrefix="1" applyNumberFormat="1" applyFont="1" applyFill="1" applyBorder="1" applyAlignment="1">
      <alignment horizontal="right"/>
    </xf>
    <xf numFmtId="164" fontId="2" fillId="0" borderId="27" xfId="0" applyNumberFormat="1" applyFont="1" applyFill="1" applyBorder="1"/>
    <xf numFmtId="0" fontId="3" fillId="0" borderId="27" xfId="0" quotePrefix="1" applyNumberFormat="1" applyFont="1" applyFill="1" applyBorder="1" applyAlignment="1">
      <alignment horizontal="right"/>
    </xf>
    <xf numFmtId="164" fontId="3" fillId="0" borderId="32" xfId="0" applyNumberFormat="1" applyFont="1" applyFill="1" applyBorder="1"/>
    <xf numFmtId="165" fontId="3" fillId="0" borderId="27" xfId="0" applyNumberFormat="1" applyFont="1" applyFill="1" applyBorder="1" applyAlignment="1">
      <alignment horizontal="right"/>
    </xf>
    <xf numFmtId="0" fontId="3" fillId="0" borderId="25" xfId="0" applyFont="1" applyFill="1" applyBorder="1" applyAlignment="1">
      <alignment horizontal="left" vertical="center" wrapText="1"/>
    </xf>
    <xf numFmtId="164" fontId="3" fillId="0" borderId="25" xfId="0" applyNumberFormat="1" applyFont="1" applyFill="1" applyBorder="1" applyAlignment="1">
      <alignment horizontal="left" vertical="center" wrapText="1"/>
    </xf>
    <xf numFmtId="164" fontId="3" fillId="0" borderId="31" xfId="0" applyNumberFormat="1" applyFont="1" applyFill="1" applyBorder="1" applyAlignment="1">
      <alignment horizontal="left" vertical="center" wrapText="1"/>
    </xf>
    <xf numFmtId="0" fontId="3" fillId="0" borderId="29" xfId="0" applyFont="1" applyFill="1" applyBorder="1" applyAlignment="1">
      <alignment horizontal="left" vertical="center" wrapText="1"/>
    </xf>
    <xf numFmtId="3" fontId="45" fillId="0" borderId="20" xfId="0" applyNumberFormat="1" applyFont="1" applyFill="1" applyBorder="1" applyAlignment="1">
      <alignment horizontal="right"/>
    </xf>
    <xf numFmtId="0" fontId="2" fillId="0" borderId="19" xfId="0" applyFont="1" applyFill="1" applyBorder="1" applyAlignment="1">
      <alignment horizontal="center" vertical="top"/>
    </xf>
    <xf numFmtId="0" fontId="2" fillId="0" borderId="30" xfId="0" applyFont="1" applyFill="1" applyBorder="1" applyAlignment="1">
      <alignment horizontal="center" vertical="top"/>
    </xf>
    <xf numFmtId="0" fontId="2" fillId="0" borderId="28" xfId="0" applyFont="1" applyFill="1" applyBorder="1" applyAlignment="1">
      <alignment horizontal="center" vertical="top"/>
    </xf>
    <xf numFmtId="0" fontId="2" fillId="0" borderId="16" xfId="0" applyFont="1" applyFill="1" applyBorder="1" applyAlignment="1">
      <alignment vertical="center" wrapText="1"/>
    </xf>
    <xf numFmtId="0" fontId="2" fillId="0" borderId="26" xfId="0" applyFont="1" applyFill="1" applyBorder="1" applyAlignment="1">
      <alignment vertical="center" wrapText="1"/>
    </xf>
    <xf numFmtId="0" fontId="7" fillId="0" borderId="0" xfId="0" applyFont="1" applyBorder="1" applyAlignment="1">
      <alignment horizontal="left"/>
    </xf>
    <xf numFmtId="0" fontId="6" fillId="0" borderId="0" xfId="0" applyFont="1" applyAlignment="1"/>
    <xf numFmtId="0" fontId="0" fillId="0" borderId="0" xfId="0" applyAlignment="1"/>
    <xf numFmtId="0" fontId="5" fillId="0" borderId="0" xfId="0" applyFont="1" applyAlignment="1"/>
    <xf numFmtId="0" fontId="7" fillId="0" borderId="0" xfId="0" applyFont="1" applyBorder="1" applyAlignment="1">
      <alignment horizontal="left" wrapText="1"/>
    </xf>
    <xf numFmtId="49" fontId="2" fillId="0" borderId="21" xfId="0" applyNumberFormat="1" applyFont="1" applyFill="1" applyBorder="1" applyAlignment="1">
      <alignment horizontal="right"/>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79"/>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Titre 1" xfId="80" builtinId="16"/>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'5.02 Graphique 1'!$A$3</c:f>
          <c:strCache>
            <c:ptCount val="1"/>
            <c:pt idx="0">
              <c:v>[1] Évolution des effectifs par domaine de spécialité</c:v>
            </c:pt>
          </c:strCache>
        </c:strRef>
      </c:tx>
      <c:layout/>
      <c:overlay val="0"/>
    </c:title>
    <c:autoTitleDeleted val="0"/>
    <c:plotArea>
      <c:layout>
        <c:manualLayout>
          <c:layoutTarget val="inner"/>
          <c:xMode val="edge"/>
          <c:yMode val="edge"/>
          <c:x val="7.0753624151411454E-2"/>
          <c:y val="0.17560075823855351"/>
          <c:w val="0.92502696656588812"/>
          <c:h val="0.75082166812481776"/>
        </c:manualLayout>
      </c:layout>
      <c:lineChart>
        <c:grouping val="standard"/>
        <c:varyColors val="0"/>
        <c:ser>
          <c:idx val="0"/>
          <c:order val="0"/>
          <c:tx>
            <c:strRef>
              <c:f>'5.02 Graphique 1'!$A$6</c:f>
              <c:strCache>
                <c:ptCount val="1"/>
                <c:pt idx="0">
                  <c:v>Domaines de la production</c:v>
                </c:pt>
              </c:strCache>
            </c:strRef>
          </c:tx>
          <c:spPr>
            <a:ln>
              <a:solidFill>
                <a:srgbClr val="0000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DD63-4D95-B70C-1FB115418FD6}"/>
                </c:ext>
              </c:extLst>
            </c:dLbl>
            <c:dLbl>
              <c:idx val="1"/>
              <c:delete val="1"/>
              <c:extLst>
                <c:ext xmlns:c15="http://schemas.microsoft.com/office/drawing/2012/chart" uri="{CE6537A1-D6FC-4f65-9D91-7224C49458BB}"/>
                <c:ext xmlns:c16="http://schemas.microsoft.com/office/drawing/2014/chart" uri="{C3380CC4-5D6E-409C-BE32-E72D297353CC}">
                  <c16:uniqueId val="{00000002-312F-496C-9806-224148F71D23}"/>
                </c:ext>
              </c:extLst>
            </c:dLbl>
            <c:dLbl>
              <c:idx val="2"/>
              <c:delete val="1"/>
              <c:extLst>
                <c:ext xmlns:c15="http://schemas.microsoft.com/office/drawing/2012/chart" uri="{CE6537A1-D6FC-4f65-9D91-7224C49458BB}"/>
                <c:ext xmlns:c16="http://schemas.microsoft.com/office/drawing/2014/chart" uri="{C3380CC4-5D6E-409C-BE32-E72D297353CC}">
                  <c16:uniqueId val="{00000001-312F-496C-9806-224148F71D23}"/>
                </c:ext>
              </c:extLst>
            </c:dLbl>
            <c:dLbl>
              <c:idx val="3"/>
              <c:delete val="1"/>
              <c:extLst>
                <c:ext xmlns:c15="http://schemas.microsoft.com/office/drawing/2012/chart" uri="{CE6537A1-D6FC-4f65-9D91-7224C49458BB}"/>
                <c:ext xmlns:c16="http://schemas.microsoft.com/office/drawing/2014/chart" uri="{C3380CC4-5D6E-409C-BE32-E72D297353CC}">
                  <c16:uniqueId val="{00000004-DD63-4D95-B70C-1FB115418FD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'5.02 Graphique 1'!$B$5:$F$5</c:f>
              <c:strCache>
                <c:ptCount val="5"/>
                <c:pt idx="0">
                  <c:v>2017</c:v>
                </c:pt>
                <c:pt idx="1">
                  <c:v>2018</c:v>
                </c:pt>
                <c:pt idx="2">
                  <c:v>2019</c:v>
                </c:pt>
                <c:pt idx="3">
                  <c:v>2020</c:v>
                </c:pt>
                <c:pt idx="4">
                  <c:v>2021</c:v>
                </c:pt>
              </c:strCache>
            </c:strRef>
          </c:cat>
          <c:val>
            <c:numRef>
              <c:f>'5.02 Graphique 1'!$B$6:$F$6</c:f>
              <c:numCache>
                <c:formatCode>#,##0</c:formatCode>
                <c:ptCount val="5"/>
                <c:pt idx="0">
                  <c:v>937</c:v>
                </c:pt>
                <c:pt idx="1">
                  <c:v>910</c:v>
                </c:pt>
                <c:pt idx="2">
                  <c:v>862</c:v>
                </c:pt>
                <c:pt idx="3">
                  <c:v>993</c:v>
                </c:pt>
                <c:pt idx="4">
                  <c:v>897</c:v>
                </c:pt>
              </c:numCache>
            </c:numRef>
          </c:val>
          <c:smooth val="0"/>
          <c:extLst>
            <c:ext xmlns:c16="http://schemas.microsoft.com/office/drawing/2014/chart" uri="{C3380CC4-5D6E-409C-BE32-E72D297353CC}">
              <c16:uniqueId val="{00000001-C883-43AA-A99B-C10B3B98C4A6}"/>
            </c:ext>
          </c:extLst>
        </c:ser>
        <c:ser>
          <c:idx val="1"/>
          <c:order val="1"/>
          <c:tx>
            <c:strRef>
              <c:f>'5.02 Graphique 1'!$A$7</c:f>
              <c:strCache>
                <c:ptCount val="1"/>
                <c:pt idx="0">
                  <c:v>Domaines des services</c:v>
                </c:pt>
              </c:strCache>
            </c:strRef>
          </c:tx>
          <c:spPr>
            <a:ln>
              <a:solidFill>
                <a:srgbClr val="99CCFF"/>
              </a:solidFill>
            </a:ln>
          </c:spPr>
          <c:marker>
            <c:symbol val="none"/>
          </c:marker>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2F-496C-9806-224148F71D2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'5.02 Graphique 1'!$B$5:$F$5</c:f>
              <c:strCache>
                <c:ptCount val="5"/>
                <c:pt idx="0">
                  <c:v>2017</c:v>
                </c:pt>
                <c:pt idx="1">
                  <c:v>2018</c:v>
                </c:pt>
                <c:pt idx="2">
                  <c:v>2019</c:v>
                </c:pt>
                <c:pt idx="3">
                  <c:v>2020</c:v>
                </c:pt>
                <c:pt idx="4">
                  <c:v>2021</c:v>
                </c:pt>
              </c:strCache>
            </c:strRef>
          </c:cat>
          <c:val>
            <c:numRef>
              <c:f>'5.02 Graphique 1'!$B$7:$F$7</c:f>
              <c:numCache>
                <c:formatCode>#,##0</c:formatCode>
                <c:ptCount val="5"/>
                <c:pt idx="0">
                  <c:v>991</c:v>
                </c:pt>
                <c:pt idx="1">
                  <c:v>1021</c:v>
                </c:pt>
                <c:pt idx="2">
                  <c:v>1000</c:v>
                </c:pt>
                <c:pt idx="3">
                  <c:v>1091</c:v>
                </c:pt>
                <c:pt idx="4">
                  <c:v>1408</c:v>
                </c:pt>
              </c:numCache>
            </c:numRef>
          </c:val>
          <c:smooth val="0"/>
          <c:extLst>
            <c:ext xmlns:c16="http://schemas.microsoft.com/office/drawing/2014/chart" uri="{C3380CC4-5D6E-409C-BE32-E72D297353CC}">
              <c16:uniqueId val="{00000003-C883-43AA-A99B-C10B3B98C4A6}"/>
            </c:ext>
          </c:extLst>
        </c:ser>
        <c:ser>
          <c:idx val="2"/>
          <c:order val="2"/>
          <c:tx>
            <c:strRef>
              <c:f>'5.02 Graphique 1'!$A$8</c:f>
              <c:strCache>
                <c:ptCount val="1"/>
                <c:pt idx="0">
                  <c:v>Domaines disciplinaires</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A56-4CF4-974B-3A67D5032780}"/>
                </c:ext>
              </c:extLst>
            </c:dLbl>
            <c:dLbl>
              <c:idx val="1"/>
              <c:delete val="1"/>
              <c:extLst>
                <c:ext xmlns:c15="http://schemas.microsoft.com/office/drawing/2012/chart" uri="{CE6537A1-D6FC-4f65-9D91-7224C49458BB}"/>
                <c:ext xmlns:c16="http://schemas.microsoft.com/office/drawing/2014/chart" uri="{C3380CC4-5D6E-409C-BE32-E72D297353CC}">
                  <c16:uniqueId val="{00000005-312F-496C-9806-224148F71D23}"/>
                </c:ext>
              </c:extLst>
            </c:dLbl>
            <c:dLbl>
              <c:idx val="2"/>
              <c:delete val="1"/>
              <c:extLst>
                <c:ext xmlns:c15="http://schemas.microsoft.com/office/drawing/2012/chart" uri="{CE6537A1-D6FC-4f65-9D91-7224C49458BB}"/>
                <c:ext xmlns:c16="http://schemas.microsoft.com/office/drawing/2014/chart" uri="{C3380CC4-5D6E-409C-BE32-E72D297353CC}">
                  <c16:uniqueId val="{00000004-312F-496C-9806-224148F71D23}"/>
                </c:ext>
              </c:extLst>
            </c:dLbl>
            <c:dLbl>
              <c:idx val="3"/>
              <c:delete val="1"/>
              <c:extLst>
                <c:ext xmlns:c15="http://schemas.microsoft.com/office/drawing/2012/chart" uri="{CE6537A1-D6FC-4f65-9D91-7224C49458BB}"/>
                <c:ext xmlns:c16="http://schemas.microsoft.com/office/drawing/2014/chart" uri="{C3380CC4-5D6E-409C-BE32-E72D297353CC}">
                  <c16:uniqueId val="{00000002-9A56-4CF4-974B-3A67D503278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'5.02 Graphique 1'!$B$5:$F$5</c:f>
              <c:strCache>
                <c:ptCount val="5"/>
                <c:pt idx="0">
                  <c:v>2017</c:v>
                </c:pt>
                <c:pt idx="1">
                  <c:v>2018</c:v>
                </c:pt>
                <c:pt idx="2">
                  <c:v>2019</c:v>
                </c:pt>
                <c:pt idx="3">
                  <c:v>2020</c:v>
                </c:pt>
                <c:pt idx="4">
                  <c:v>2021</c:v>
                </c:pt>
              </c:strCache>
            </c:strRef>
          </c:cat>
          <c:val>
            <c:numRef>
              <c:f>'5.02 Graphique 1'!$B$8:$F$8</c:f>
              <c:numCache>
                <c:formatCode>#,##0</c:formatCode>
                <c:ptCount val="5"/>
                <c:pt idx="0">
                  <c:v>53</c:v>
                </c:pt>
                <c:pt idx="1">
                  <c:v>57</c:v>
                </c:pt>
                <c:pt idx="2">
                  <c:v>58</c:v>
                </c:pt>
                <c:pt idx="3">
                  <c:v>58</c:v>
                </c:pt>
                <c:pt idx="4">
                  <c:v>70</c:v>
                </c:pt>
              </c:numCache>
            </c:numRef>
          </c:val>
          <c:smooth val="0"/>
          <c:extLst>
            <c:ext xmlns:c16="http://schemas.microsoft.com/office/drawing/2014/chart" uri="{C3380CC4-5D6E-409C-BE32-E72D297353CC}">
              <c16:uniqueId val="{00000000-9A56-4CF4-974B-3A67D5032780}"/>
            </c:ext>
          </c:extLst>
        </c:ser>
        <c:dLbls>
          <c:showLegendKey val="0"/>
          <c:showVal val="0"/>
          <c:showCatName val="0"/>
          <c:showSerName val="0"/>
          <c:showPercent val="0"/>
          <c:showBubbleSize val="0"/>
        </c:dLbls>
        <c:smooth val="0"/>
        <c:axId val="343598776"/>
        <c:axId val="1"/>
      </c:lineChart>
      <c:catAx>
        <c:axId val="34359877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500"/>
          <c:min val="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4359877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66676</xdr:colOff>
      <xdr:row>2</xdr:row>
      <xdr:rowOff>28575</xdr:rowOff>
    </xdr:from>
    <xdr:to>
      <xdr:col>12</xdr:col>
      <xdr:colOff>752475</xdr:colOff>
      <xdr:row>19</xdr:row>
      <xdr:rowOff>19050</xdr:rowOff>
    </xdr:to>
    <xdr:graphicFrame macro="">
      <xdr:nvGraphicFramePr>
        <xdr:cNvPr id="1130" name="Graphique 2">
          <a:extLst>
            <a:ext uri="{FF2B5EF4-FFF2-40B4-BE49-F238E27FC236}">
              <a16:creationId xmlns:a16="http://schemas.microsoft.com/office/drawing/2014/main" id="{00000000-0008-0000-0100-00006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0.35767</cdr:x>
      <cdr:y>0.27222</cdr:y>
    </cdr:from>
    <cdr:to>
      <cdr:x>0.45893</cdr:x>
      <cdr:y>0.37138</cdr:y>
    </cdr:to>
    <cdr:sp macro="" textlink="">
      <cdr:nvSpPr>
        <cdr:cNvPr id="2" name="ZoneTexte 1"/>
        <cdr:cNvSpPr txBox="1"/>
      </cdr:nvSpPr>
      <cdr:spPr>
        <a:xfrm xmlns:a="http://schemas.openxmlformats.org/drawingml/2006/main">
          <a:off x="3229632" y="757401"/>
          <a:ext cx="914400" cy="2758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99"/>
  <sheetViews>
    <sheetView showGridLines="0" zoomScaleNormal="100" zoomScaleSheetLayoutView="110" workbookViewId="0">
      <selection activeCell="D10" sqref="D10"/>
    </sheetView>
  </sheetViews>
  <sheetFormatPr baseColWidth="10" defaultRowHeight="12.75" x14ac:dyDescent="0.2"/>
  <cols>
    <col min="1" max="1" width="90.7109375" style="39" customWidth="1"/>
    <col min="2" max="16384" width="11.42578125" style="39"/>
  </cols>
  <sheetData>
    <row r="1" spans="1:1" x14ac:dyDescent="0.2">
      <c r="A1" s="38" t="s">
        <v>60</v>
      </c>
    </row>
    <row r="2" spans="1:1" x14ac:dyDescent="0.2">
      <c r="A2" s="62" t="s">
        <v>50</v>
      </c>
    </row>
    <row r="3" spans="1:1" x14ac:dyDescent="0.2">
      <c r="A3" s="62">
        <v>45272</v>
      </c>
    </row>
    <row r="4" spans="1:1" ht="20.25" thickBot="1" x14ac:dyDescent="0.35">
      <c r="A4" s="63" t="s">
        <v>51</v>
      </c>
    </row>
    <row r="5" spans="1:1" ht="13.5" thickTop="1" x14ac:dyDescent="0.2">
      <c r="A5" s="64"/>
    </row>
    <row r="6" spans="1:1" ht="25.5" x14ac:dyDescent="0.2">
      <c r="A6" s="65" t="s">
        <v>52</v>
      </c>
    </row>
    <row r="7" spans="1:1" ht="102" customHeight="1" x14ac:dyDescent="0.2">
      <c r="A7" s="66" t="s">
        <v>53</v>
      </c>
    </row>
    <row r="10" spans="1:1" ht="15.75" x14ac:dyDescent="0.2">
      <c r="A10" s="40" t="s">
        <v>54</v>
      </c>
    </row>
    <row r="11" spans="1:1" x14ac:dyDescent="0.2">
      <c r="A11" s="38"/>
    </row>
    <row r="12" spans="1:1" x14ac:dyDescent="0.2">
      <c r="A12" s="38"/>
    </row>
    <row r="13" spans="1:1" x14ac:dyDescent="0.2">
      <c r="A13" s="38"/>
    </row>
    <row r="14" spans="1:1" s="41" customFormat="1" ht="34.9" customHeight="1" x14ac:dyDescent="0.2"/>
    <row r="15" spans="1:1" ht="35.1" customHeight="1" x14ac:dyDescent="0.2">
      <c r="A15" s="42" t="s">
        <v>34</v>
      </c>
    </row>
    <row r="16" spans="1:1" x14ac:dyDescent="0.2">
      <c r="A16" s="43" t="s">
        <v>24</v>
      </c>
    </row>
    <row r="17" spans="1:1" x14ac:dyDescent="0.2">
      <c r="A17" s="43" t="s">
        <v>57</v>
      </c>
    </row>
    <row r="18" spans="1:1" x14ac:dyDescent="0.2">
      <c r="A18" s="43"/>
    </row>
    <row r="19" spans="1:1" x14ac:dyDescent="0.2">
      <c r="A19" s="43"/>
    </row>
    <row r="20" spans="1:1" x14ac:dyDescent="0.2">
      <c r="A20" s="43"/>
    </row>
    <row r="21" spans="1:1" x14ac:dyDescent="0.2">
      <c r="A21" s="43"/>
    </row>
    <row r="22" spans="1:1" x14ac:dyDescent="0.2">
      <c r="A22" s="43"/>
    </row>
    <row r="23" spans="1:1" x14ac:dyDescent="0.2">
      <c r="A23" s="43"/>
    </row>
    <row r="24" spans="1:1" ht="35.1" customHeight="1" x14ac:dyDescent="0.2">
      <c r="A24" s="44" t="s">
        <v>35</v>
      </c>
    </row>
    <row r="25" spans="1:1" ht="33.75" x14ac:dyDescent="0.2">
      <c r="A25" s="45" t="s">
        <v>36</v>
      </c>
    </row>
    <row r="26" spans="1:1" ht="22.5" x14ac:dyDescent="0.2">
      <c r="A26" s="46" t="s">
        <v>37</v>
      </c>
    </row>
    <row r="27" spans="1:1" ht="35.1" customHeight="1" x14ac:dyDescent="0.2">
      <c r="A27" s="47" t="s">
        <v>38</v>
      </c>
    </row>
    <row r="28" spans="1:1" x14ac:dyDescent="0.2">
      <c r="A28" s="48" t="s">
        <v>39</v>
      </c>
    </row>
    <row r="29" spans="1:1" x14ac:dyDescent="0.2">
      <c r="A29" s="48" t="s">
        <v>40</v>
      </c>
    </row>
    <row r="30" spans="1:1" ht="35.1" customHeight="1" x14ac:dyDescent="0.2">
      <c r="A30" s="49" t="s">
        <v>41</v>
      </c>
    </row>
    <row r="31" spans="1:1" x14ac:dyDescent="0.2">
      <c r="A31" s="50" t="s">
        <v>42</v>
      </c>
    </row>
    <row r="32" spans="1:1" x14ac:dyDescent="0.2">
      <c r="A32" s="41"/>
    </row>
    <row r="33" spans="1:1" ht="22.5" x14ac:dyDescent="0.2">
      <c r="A33" s="51" t="s">
        <v>43</v>
      </c>
    </row>
    <row r="34" spans="1:1" x14ac:dyDescent="0.2">
      <c r="A34" s="52"/>
    </row>
    <row r="35" spans="1:1" x14ac:dyDescent="0.2">
      <c r="A35" s="44" t="s">
        <v>44</v>
      </c>
    </row>
    <row r="36" spans="1:1" x14ac:dyDescent="0.2">
      <c r="A36" s="52"/>
    </row>
    <row r="37" spans="1:1" x14ac:dyDescent="0.2">
      <c r="A37" s="52" t="s">
        <v>45</v>
      </c>
    </row>
    <row r="38" spans="1:1" x14ac:dyDescent="0.2">
      <c r="A38" s="52" t="s">
        <v>46</v>
      </c>
    </row>
    <row r="39" spans="1:1" x14ac:dyDescent="0.2">
      <c r="A39" s="52" t="s">
        <v>47</v>
      </c>
    </row>
    <row r="40" spans="1:1" x14ac:dyDescent="0.2">
      <c r="A40" s="52" t="s">
        <v>48</v>
      </c>
    </row>
    <row r="41" spans="1:1" x14ac:dyDescent="0.2">
      <c r="A41" s="41"/>
    </row>
    <row r="42" spans="1:1" x14ac:dyDescent="0.2">
      <c r="A42" s="41"/>
    </row>
    <row r="43" spans="1:1" x14ac:dyDescent="0.2">
      <c r="A43" s="41"/>
    </row>
    <row r="44" spans="1:1" x14ac:dyDescent="0.2">
      <c r="A44" s="41"/>
    </row>
    <row r="45" spans="1:1" x14ac:dyDescent="0.2">
      <c r="A45" s="41"/>
    </row>
    <row r="46" spans="1:1" x14ac:dyDescent="0.2">
      <c r="A46" s="41"/>
    </row>
    <row r="47" spans="1:1" x14ac:dyDescent="0.2">
      <c r="A47" s="41"/>
    </row>
    <row r="48" spans="1:1" x14ac:dyDescent="0.2">
      <c r="A48" s="41"/>
    </row>
    <row r="49" spans="1:1" x14ac:dyDescent="0.2">
      <c r="A49" s="41"/>
    </row>
    <row r="50" spans="1:1" x14ac:dyDescent="0.2">
      <c r="A50" s="41"/>
    </row>
    <row r="51" spans="1:1" x14ac:dyDescent="0.2">
      <c r="A51" s="41"/>
    </row>
    <row r="52" spans="1:1" x14ac:dyDescent="0.2">
      <c r="A52" s="41"/>
    </row>
    <row r="53" spans="1:1" x14ac:dyDescent="0.2">
      <c r="A53" s="41"/>
    </row>
    <row r="54" spans="1:1" x14ac:dyDescent="0.2">
      <c r="A54" s="41"/>
    </row>
    <row r="55" spans="1:1" x14ac:dyDescent="0.2">
      <c r="A55" s="41"/>
    </row>
    <row r="56" spans="1:1" x14ac:dyDescent="0.2">
      <c r="A56" s="41"/>
    </row>
    <row r="57" spans="1:1" x14ac:dyDescent="0.2">
      <c r="A57" s="41"/>
    </row>
    <row r="58" spans="1:1" x14ac:dyDescent="0.2">
      <c r="A58" s="41"/>
    </row>
    <row r="59" spans="1:1" x14ac:dyDescent="0.2">
      <c r="A59" s="41"/>
    </row>
    <row r="60" spans="1:1" x14ac:dyDescent="0.2">
      <c r="A60" s="41"/>
    </row>
    <row r="61" spans="1:1" x14ac:dyDescent="0.2">
      <c r="A61" s="41"/>
    </row>
    <row r="62" spans="1:1" x14ac:dyDescent="0.2">
      <c r="A62" s="41"/>
    </row>
    <row r="63" spans="1:1" x14ac:dyDescent="0.2">
      <c r="A63" s="41"/>
    </row>
    <row r="64" spans="1:1" x14ac:dyDescent="0.2">
      <c r="A64" s="41"/>
    </row>
    <row r="65" spans="1:1" x14ac:dyDescent="0.2">
      <c r="A65" s="41"/>
    </row>
    <row r="66" spans="1:1" x14ac:dyDescent="0.2">
      <c r="A66" s="41"/>
    </row>
    <row r="67" spans="1:1" x14ac:dyDescent="0.2">
      <c r="A67" s="41"/>
    </row>
    <row r="68" spans="1:1" x14ac:dyDescent="0.2">
      <c r="A68" s="41"/>
    </row>
    <row r="69" spans="1:1" x14ac:dyDescent="0.2">
      <c r="A69" s="41"/>
    </row>
    <row r="70" spans="1:1" x14ac:dyDescent="0.2">
      <c r="A70" s="41"/>
    </row>
    <row r="71" spans="1:1" x14ac:dyDescent="0.2">
      <c r="A71" s="41"/>
    </row>
    <row r="72" spans="1:1" x14ac:dyDescent="0.2">
      <c r="A72" s="41"/>
    </row>
    <row r="73" spans="1:1" x14ac:dyDescent="0.2">
      <c r="A73" s="41"/>
    </row>
    <row r="74" spans="1:1" x14ac:dyDescent="0.2">
      <c r="A74" s="41"/>
    </row>
    <row r="75" spans="1:1" x14ac:dyDescent="0.2">
      <c r="A75" s="41"/>
    </row>
    <row r="76" spans="1:1" x14ac:dyDescent="0.2">
      <c r="A76" s="41"/>
    </row>
    <row r="77" spans="1:1" x14ac:dyDescent="0.2">
      <c r="A77" s="41"/>
    </row>
    <row r="78" spans="1:1" x14ac:dyDescent="0.2">
      <c r="A78" s="41"/>
    </row>
    <row r="79" spans="1:1" x14ac:dyDescent="0.2">
      <c r="A79" s="41"/>
    </row>
    <row r="80" spans="1:1"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row r="92" spans="1:1" x14ac:dyDescent="0.2">
      <c r="A92" s="41"/>
    </row>
    <row r="93" spans="1:1" x14ac:dyDescent="0.2">
      <c r="A93" s="41"/>
    </row>
    <row r="94" spans="1:1" x14ac:dyDescent="0.2">
      <c r="A94" s="41"/>
    </row>
    <row r="95" spans="1:1" x14ac:dyDescent="0.2">
      <c r="A95" s="41"/>
    </row>
    <row r="96" spans="1:1" x14ac:dyDescent="0.2">
      <c r="A96" s="41"/>
    </row>
    <row r="97" spans="1:1" x14ac:dyDescent="0.2">
      <c r="A97" s="41"/>
    </row>
    <row r="98" spans="1:1" x14ac:dyDescent="0.2">
      <c r="A98" s="41"/>
    </row>
    <row r="99" spans="1:1" x14ac:dyDescent="0.2">
      <c r="A99" s="41"/>
    </row>
  </sheetData>
  <hyperlinks>
    <hyperlink ref="A7" r:id="rId1"/>
  </hyperlinks>
  <pageMargins left="0.70866141732283472" right="0.70866141732283472" top="0.74803149606299213" bottom="0.74803149606299213" header="0.31496062992125984" footer="0.31496062992125984"/>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11"/>
  <sheetViews>
    <sheetView showGridLines="0" zoomScaleNormal="100" workbookViewId="0">
      <selection activeCell="F24" sqref="F24"/>
    </sheetView>
  </sheetViews>
  <sheetFormatPr baseColWidth="10" defaultRowHeight="12.75" x14ac:dyDescent="0.2"/>
  <cols>
    <col min="1" max="1" width="24.42578125" customWidth="1"/>
  </cols>
  <sheetData>
    <row r="1" spans="1:6" s="3" customFormat="1" ht="15" x14ac:dyDescent="0.25">
      <c r="A1" s="27" t="s">
        <v>55</v>
      </c>
    </row>
    <row r="2" spans="1:6" s="3" customFormat="1" ht="19.5" customHeight="1" x14ac:dyDescent="0.2">
      <c r="A2" s="2"/>
    </row>
    <row r="3" spans="1:6" s="3" customFormat="1" ht="12" x14ac:dyDescent="0.2">
      <c r="A3" s="53" t="str">
        <f>'5.02 Notice'!A16</f>
        <v>[1] Évolution des effectifs par domaine de spécialité</v>
      </c>
    </row>
    <row r="5" spans="1:6" x14ac:dyDescent="0.2">
      <c r="A5" s="67"/>
      <c r="B5" s="94" t="s">
        <v>22</v>
      </c>
      <c r="C5" s="94" t="s">
        <v>23</v>
      </c>
      <c r="D5" s="94" t="s">
        <v>26</v>
      </c>
      <c r="E5" s="94" t="s">
        <v>27</v>
      </c>
      <c r="F5" s="94" t="s">
        <v>56</v>
      </c>
    </row>
    <row r="6" spans="1:6" x14ac:dyDescent="0.2">
      <c r="A6" s="28" t="s">
        <v>17</v>
      </c>
      <c r="B6" s="29">
        <v>937</v>
      </c>
      <c r="C6" s="29">
        <v>910</v>
      </c>
      <c r="D6" s="29">
        <v>862</v>
      </c>
      <c r="E6" s="29">
        <v>993</v>
      </c>
      <c r="F6" s="83">
        <v>897</v>
      </c>
    </row>
    <row r="7" spans="1:6" x14ac:dyDescent="0.2">
      <c r="A7" s="28" t="s">
        <v>25</v>
      </c>
      <c r="B7" s="29">
        <v>991</v>
      </c>
      <c r="C7" s="29">
        <v>1021</v>
      </c>
      <c r="D7" s="29">
        <v>1000</v>
      </c>
      <c r="E7" s="29">
        <v>1091</v>
      </c>
      <c r="F7" s="83">
        <v>1408</v>
      </c>
    </row>
    <row r="8" spans="1:6" ht="13.5" thickBot="1" x14ac:dyDescent="0.25">
      <c r="A8" s="30" t="s">
        <v>5</v>
      </c>
      <c r="B8" s="31">
        <v>53</v>
      </c>
      <c r="C8" s="31">
        <v>57</v>
      </c>
      <c r="D8" s="31">
        <v>58</v>
      </c>
      <c r="E8" s="31">
        <v>58</v>
      </c>
      <c r="F8" s="31">
        <v>70</v>
      </c>
    </row>
    <row r="9" spans="1:6" x14ac:dyDescent="0.2">
      <c r="B9" s="32"/>
      <c r="C9" s="32"/>
      <c r="D9" s="32"/>
      <c r="E9" s="32"/>
      <c r="F9" s="32"/>
    </row>
    <row r="11" spans="1:6" x14ac:dyDescent="0.2">
      <c r="E11" s="36" t="s">
        <v>58</v>
      </c>
    </row>
  </sheetData>
  <pageMargins left="0.7" right="0.7" top="0.75" bottom="0.75" header="0.3" footer="0.3"/>
  <pageSetup paperSize="9" scale="82" orientation="landscape" r:id="rId1"/>
  <ignoredErrors>
    <ignoredError sqref="B5:E6 F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W37"/>
  <sheetViews>
    <sheetView showGridLines="0" tabSelected="1" topLeftCell="A2" zoomScaleNormal="100" workbookViewId="0">
      <selection activeCell="N31" sqref="N31"/>
    </sheetView>
  </sheetViews>
  <sheetFormatPr baseColWidth="10" defaultColWidth="11.42578125" defaultRowHeight="11.25" x14ac:dyDescent="0.2"/>
  <cols>
    <col min="1" max="1" width="36.5703125" style="2" customWidth="1"/>
    <col min="2" max="2" width="10.7109375" style="2" customWidth="1"/>
    <col min="3" max="4" width="10.7109375" style="4" customWidth="1"/>
    <col min="5" max="5" width="10.7109375" style="2" customWidth="1"/>
    <col min="6" max="7" width="10.7109375" style="4" customWidth="1"/>
    <col min="8" max="8" width="10.7109375" style="2" customWidth="1"/>
    <col min="9" max="10" width="10.7109375" style="5" customWidth="1"/>
    <col min="11" max="19" width="10.7109375" style="3" customWidth="1"/>
    <col min="20" max="20" width="11.85546875" style="3" customWidth="1"/>
    <col min="21" max="21" width="4.28515625" style="3" customWidth="1"/>
    <col min="22" max="16384" width="11.42578125" style="3"/>
  </cols>
  <sheetData>
    <row r="1" spans="1:23" ht="15" x14ac:dyDescent="0.25">
      <c r="A1" s="90" t="s">
        <v>55</v>
      </c>
      <c r="B1" s="91"/>
      <c r="C1" s="91"/>
    </row>
    <row r="2" spans="1:23" ht="19.5" customHeight="1" x14ac:dyDescent="0.2">
      <c r="G2" s="2"/>
      <c r="H2" s="1"/>
      <c r="I2" s="10"/>
      <c r="J2" s="2"/>
    </row>
    <row r="3" spans="1:23" ht="12.75" customHeight="1" x14ac:dyDescent="0.2">
      <c r="A3" s="92" t="str">
        <f>'5.02 Notice'!A17</f>
        <v>[2] Effectifs des apprentis par domaine de spécialités et niveau de formation en 2021-2022</v>
      </c>
      <c r="B3" s="92"/>
      <c r="C3" s="92"/>
      <c r="D3" s="92"/>
      <c r="E3" s="92"/>
      <c r="F3" s="92"/>
      <c r="G3" s="92"/>
      <c r="H3" s="1"/>
      <c r="I3" s="2"/>
      <c r="J3" s="2"/>
    </row>
    <row r="4" spans="1:23" s="6" customFormat="1" x14ac:dyDescent="0.2">
      <c r="A4" s="2"/>
      <c r="B4" s="2"/>
      <c r="C4" s="4"/>
      <c r="D4" s="4"/>
      <c r="E4" s="2"/>
      <c r="F4" s="4"/>
      <c r="G4" s="4"/>
      <c r="H4" s="2"/>
      <c r="I4" s="5"/>
      <c r="J4" s="5"/>
    </row>
    <row r="5" spans="1:23" ht="18" customHeight="1" x14ac:dyDescent="0.2">
      <c r="A5" s="87" t="s">
        <v>18</v>
      </c>
      <c r="B5" s="84" t="s">
        <v>28</v>
      </c>
      <c r="C5" s="84"/>
      <c r="D5" s="85"/>
      <c r="E5" s="84" t="s">
        <v>29</v>
      </c>
      <c r="F5" s="84"/>
      <c r="G5" s="85"/>
      <c r="H5" s="84" t="s">
        <v>30</v>
      </c>
      <c r="I5" s="84"/>
      <c r="J5" s="85"/>
      <c r="K5" s="84" t="s">
        <v>31</v>
      </c>
      <c r="L5" s="84"/>
      <c r="M5" s="85"/>
      <c r="N5" s="84" t="s">
        <v>32</v>
      </c>
      <c r="O5" s="84"/>
      <c r="P5" s="85"/>
      <c r="Q5" s="86" t="s">
        <v>16</v>
      </c>
      <c r="R5" s="84"/>
      <c r="S5" s="84"/>
    </row>
    <row r="6" spans="1:23" s="9" customFormat="1" ht="22.5" x14ac:dyDescent="0.2">
      <c r="A6" s="88"/>
      <c r="B6" s="79" t="s">
        <v>1</v>
      </c>
      <c r="C6" s="80" t="s">
        <v>20</v>
      </c>
      <c r="D6" s="81" t="s">
        <v>19</v>
      </c>
      <c r="E6" s="79" t="s">
        <v>1</v>
      </c>
      <c r="F6" s="80" t="s">
        <v>20</v>
      </c>
      <c r="G6" s="81" t="s">
        <v>19</v>
      </c>
      <c r="H6" s="79" t="s">
        <v>1</v>
      </c>
      <c r="I6" s="80" t="s">
        <v>20</v>
      </c>
      <c r="J6" s="81" t="s">
        <v>19</v>
      </c>
      <c r="K6" s="79" t="s">
        <v>1</v>
      </c>
      <c r="L6" s="80" t="s">
        <v>20</v>
      </c>
      <c r="M6" s="81" t="s">
        <v>19</v>
      </c>
      <c r="N6" s="79" t="s">
        <v>1</v>
      </c>
      <c r="O6" s="80" t="s">
        <v>20</v>
      </c>
      <c r="P6" s="81" t="s">
        <v>19</v>
      </c>
      <c r="Q6" s="82" t="s">
        <v>1</v>
      </c>
      <c r="R6" s="80" t="s">
        <v>20</v>
      </c>
      <c r="S6" s="80" t="s">
        <v>19</v>
      </c>
    </row>
    <row r="7" spans="1:23" ht="13.5" customHeight="1" x14ac:dyDescent="0.2">
      <c r="A7" s="56" t="s">
        <v>2</v>
      </c>
      <c r="B7" s="12"/>
      <c r="C7" s="13"/>
      <c r="D7" s="69"/>
      <c r="E7" s="13"/>
      <c r="F7" s="13"/>
      <c r="G7" s="69"/>
      <c r="H7" s="14">
        <v>8</v>
      </c>
      <c r="I7" s="15">
        <f>4/H7*100</f>
        <v>50</v>
      </c>
      <c r="J7" s="72">
        <f>+H7/$H$24*100</f>
        <v>1.6913319238900635</v>
      </c>
      <c r="K7" s="14"/>
      <c r="L7" s="15"/>
      <c r="M7" s="72"/>
      <c r="N7" s="14">
        <v>18</v>
      </c>
      <c r="O7" s="15">
        <f>12/N7*100</f>
        <v>66.666666666666657</v>
      </c>
      <c r="P7" s="72">
        <f>+N7/$N$24*100</f>
        <v>9.2783505154639183</v>
      </c>
      <c r="Q7" s="68">
        <f>+B7+E7+H7+K7+N7</f>
        <v>26</v>
      </c>
      <c r="R7" s="15">
        <f>6/Q7*100</f>
        <v>23.076923076923077</v>
      </c>
      <c r="S7" s="16">
        <f>+Q7/Q24*100</f>
        <v>1.094736842105263</v>
      </c>
    </row>
    <row r="8" spans="1:23" ht="13.5" customHeight="1" x14ac:dyDescent="0.2">
      <c r="A8" s="56" t="s">
        <v>3</v>
      </c>
      <c r="B8" s="12"/>
      <c r="C8" s="13"/>
      <c r="D8" s="69"/>
      <c r="E8" s="13"/>
      <c r="F8" s="13"/>
      <c r="G8" s="69"/>
      <c r="H8" s="13"/>
      <c r="I8" s="13"/>
      <c r="J8" s="69"/>
      <c r="K8" s="14">
        <v>8</v>
      </c>
      <c r="L8" s="15">
        <f>5/K8*100</f>
        <v>62.5</v>
      </c>
      <c r="M8" s="72">
        <f>+K8/$K$24*100</f>
        <v>3.755868544600939</v>
      </c>
      <c r="N8" s="14">
        <v>9</v>
      </c>
      <c r="O8" s="15">
        <f>3/N8*100</f>
        <v>33.333333333333329</v>
      </c>
      <c r="P8" s="72">
        <f t="shared" ref="P8:P10" si="0">+N8/$N$24*100</f>
        <v>4.6391752577319592</v>
      </c>
      <c r="Q8" s="55">
        <f>+B8+E8+H8+K8+N8</f>
        <v>17</v>
      </c>
      <c r="R8" s="54">
        <f>0.628571428571429*100</f>
        <v>62.857142857142904</v>
      </c>
      <c r="S8" s="16">
        <f>+Q8/Q24*100</f>
        <v>0.71578947368421053</v>
      </c>
    </row>
    <row r="9" spans="1:23" ht="13.5" customHeight="1" x14ac:dyDescent="0.2">
      <c r="A9" s="56" t="s">
        <v>4</v>
      </c>
      <c r="B9" s="12"/>
      <c r="C9" s="13"/>
      <c r="D9" s="69"/>
      <c r="E9" s="14"/>
      <c r="F9" s="15"/>
      <c r="G9" s="71"/>
      <c r="H9" s="24"/>
      <c r="I9" s="13"/>
      <c r="J9" s="71"/>
      <c r="K9" s="14">
        <v>24</v>
      </c>
      <c r="L9" s="15">
        <f>14/K9*100</f>
        <v>58.333333333333336</v>
      </c>
      <c r="M9" s="72">
        <f>+K9/$K$24*100</f>
        <v>11.267605633802818</v>
      </c>
      <c r="N9" s="14">
        <v>3</v>
      </c>
      <c r="O9" s="15">
        <f>2/N9*100</f>
        <v>66.666666666666657</v>
      </c>
      <c r="P9" s="72">
        <f t="shared" si="0"/>
        <v>1.5463917525773196</v>
      </c>
      <c r="Q9" s="68">
        <f>+B9+E9+H9+K9+N9</f>
        <v>27</v>
      </c>
      <c r="R9" s="15">
        <f>1*100</f>
        <v>100</v>
      </c>
      <c r="S9" s="17">
        <f>+Q9/Q24*100</f>
        <v>1.1368421052631579</v>
      </c>
    </row>
    <row r="10" spans="1:23" ht="13.5" customHeight="1" x14ac:dyDescent="0.2">
      <c r="A10" s="58" t="s">
        <v>5</v>
      </c>
      <c r="B10" s="59">
        <f>SUM(B7:B9)</f>
        <v>0</v>
      </c>
      <c r="C10" s="59">
        <f t="shared" ref="C10:I10" si="1">SUM(C7:C9)</f>
        <v>0</v>
      </c>
      <c r="D10" s="70">
        <f>+B10/B24*100</f>
        <v>0</v>
      </c>
      <c r="E10" s="59">
        <f t="shared" si="1"/>
        <v>0</v>
      </c>
      <c r="F10" s="59">
        <f t="shared" si="1"/>
        <v>0</v>
      </c>
      <c r="G10" s="70">
        <f>+E10/E24*100</f>
        <v>0</v>
      </c>
      <c r="H10" s="59">
        <f t="shared" si="1"/>
        <v>8</v>
      </c>
      <c r="I10" s="59">
        <f t="shared" si="1"/>
        <v>50</v>
      </c>
      <c r="J10" s="75">
        <f>+H10/$H$24*100</f>
        <v>1.6913319238900635</v>
      </c>
      <c r="K10" s="59">
        <f>SUM(K7:K9)</f>
        <v>32</v>
      </c>
      <c r="L10" s="59">
        <f>19/K10*100</f>
        <v>59.375</v>
      </c>
      <c r="M10" s="70">
        <f t="shared" ref="M10:M11" si="2">+K10/$K$24*100</f>
        <v>15.023474178403756</v>
      </c>
      <c r="N10" s="59">
        <f t="shared" ref="N10:Q10" si="3">SUM(N7:N9)</f>
        <v>30</v>
      </c>
      <c r="O10" s="59">
        <f>17/N10*100</f>
        <v>56.666666666666664</v>
      </c>
      <c r="P10" s="70">
        <f t="shared" si="0"/>
        <v>15.463917525773196</v>
      </c>
      <c r="Q10" s="61">
        <f t="shared" si="3"/>
        <v>70</v>
      </c>
      <c r="R10" s="59">
        <f>0.620689655172414*100</f>
        <v>62.068965517241402</v>
      </c>
      <c r="S10" s="60">
        <f>+Q10/Q24*100</f>
        <v>2.9473684210526314</v>
      </c>
      <c r="T10" s="4"/>
      <c r="U10" s="4"/>
      <c r="V10" s="4"/>
      <c r="W10" s="4"/>
    </row>
    <row r="11" spans="1:23" ht="13.5" customHeight="1" x14ac:dyDescent="0.2">
      <c r="A11" s="56" t="s">
        <v>6</v>
      </c>
      <c r="B11" s="14"/>
      <c r="C11" s="15"/>
      <c r="D11" s="71"/>
      <c r="E11" s="14"/>
      <c r="F11" s="15"/>
      <c r="G11" s="72"/>
      <c r="H11" s="14"/>
      <c r="I11" s="15"/>
      <c r="J11" s="72"/>
      <c r="K11" s="14">
        <v>9</v>
      </c>
      <c r="L11" s="15">
        <f>5/K11*100</f>
        <v>55.555555555555557</v>
      </c>
      <c r="M11" s="72">
        <f t="shared" si="2"/>
        <v>4.225352112676056</v>
      </c>
      <c r="N11" s="14"/>
      <c r="O11" s="15"/>
      <c r="P11" s="72"/>
      <c r="Q11" s="68">
        <f>+B11+E11+H11+K11+N11</f>
        <v>9</v>
      </c>
      <c r="R11" s="15">
        <f>0.15*100</f>
        <v>15</v>
      </c>
      <c r="S11" s="16">
        <f>+Q11/Q24*100</f>
        <v>0.37894736842105259</v>
      </c>
      <c r="T11" s="2"/>
      <c r="U11" s="2"/>
      <c r="V11" s="2"/>
      <c r="W11" s="2"/>
    </row>
    <row r="12" spans="1:23" ht="13.5" customHeight="1" x14ac:dyDescent="0.2">
      <c r="A12" s="56" t="s">
        <v>7</v>
      </c>
      <c r="B12" s="14"/>
      <c r="C12" s="15"/>
      <c r="D12" s="72"/>
      <c r="E12" s="14"/>
      <c r="F12" s="15"/>
      <c r="G12" s="72"/>
      <c r="H12" s="14"/>
      <c r="I12" s="15"/>
      <c r="J12" s="72"/>
      <c r="K12" s="14"/>
      <c r="L12" s="15"/>
      <c r="M12" s="72"/>
      <c r="N12" s="14"/>
      <c r="O12" s="15"/>
      <c r="P12" s="72"/>
      <c r="Q12" s="68">
        <f>+B12+E12+H12+K12+N12</f>
        <v>0</v>
      </c>
      <c r="R12" s="15">
        <f>0.168316831683168*100</f>
        <v>16.8316831683168</v>
      </c>
      <c r="S12" s="16">
        <f>+Q12/Q24*100</f>
        <v>0</v>
      </c>
      <c r="T12" s="2"/>
      <c r="U12" s="2"/>
      <c r="V12" s="2"/>
      <c r="W12" s="2"/>
    </row>
    <row r="13" spans="1:23" ht="13.5" customHeight="1" x14ac:dyDescent="0.2">
      <c r="A13" s="56" t="s">
        <v>8</v>
      </c>
      <c r="B13" s="14">
        <v>213</v>
      </c>
      <c r="C13" s="15">
        <f>32/B13*100</f>
        <v>15.023474178403756</v>
      </c>
      <c r="D13" s="72">
        <f>+B13/$B$24*100</f>
        <v>21.536905965621841</v>
      </c>
      <c r="E13" s="14">
        <v>30</v>
      </c>
      <c r="F13" s="15">
        <f>1/E13*100</f>
        <v>3.3333333333333335</v>
      </c>
      <c r="G13" s="72">
        <f t="shared" ref="G13:G24" si="4">+E13/$E$24*100</f>
        <v>5.928853754940711</v>
      </c>
      <c r="H13" s="14">
        <v>9</v>
      </c>
      <c r="I13" s="15">
        <f>8/H13*100</f>
        <v>88.888888888888886</v>
      </c>
      <c r="J13" s="72">
        <f>+H13/$H$24*100</f>
        <v>1.9027484143763214</v>
      </c>
      <c r="K13" s="14">
        <v>4</v>
      </c>
      <c r="L13" s="15">
        <f>1/K13*100</f>
        <v>25</v>
      </c>
      <c r="M13" s="72">
        <f t="shared" ref="M13:M14" si="5">+K13/$K$24*100</f>
        <v>1.8779342723004695</v>
      </c>
      <c r="N13" s="14"/>
      <c r="O13" s="15"/>
      <c r="P13" s="72"/>
      <c r="Q13" s="68">
        <f>+B13+E13+H13+K13+N13</f>
        <v>256</v>
      </c>
      <c r="R13" s="15">
        <f>0.0413533834586466*100</f>
        <v>4.1353383458646604</v>
      </c>
      <c r="S13" s="16">
        <f>+Q13/Q24*100</f>
        <v>10.778947368421052</v>
      </c>
      <c r="T13" s="2"/>
      <c r="U13" s="2"/>
      <c r="V13" s="2"/>
      <c r="W13" s="2"/>
    </row>
    <row r="14" spans="1:23" ht="13.5" customHeight="1" x14ac:dyDescent="0.2">
      <c r="A14" s="56" t="s">
        <v>9</v>
      </c>
      <c r="B14" s="14">
        <v>220</v>
      </c>
      <c r="C14" s="15">
        <f>1/B14*100</f>
        <v>0.45454545454545453</v>
      </c>
      <c r="D14" s="72">
        <f t="shared" ref="D14:D23" si="6">+B14/$B$24*100</f>
        <v>22.24469160768453</v>
      </c>
      <c r="E14" s="14">
        <v>13</v>
      </c>
      <c r="F14" s="15">
        <v>0</v>
      </c>
      <c r="G14" s="72">
        <f t="shared" si="4"/>
        <v>2.5691699604743086</v>
      </c>
      <c r="H14" s="14"/>
      <c r="I14" s="15"/>
      <c r="J14" s="72"/>
      <c r="K14" s="14">
        <v>15</v>
      </c>
      <c r="L14" s="15">
        <f>3/K14*100</f>
        <v>20</v>
      </c>
      <c r="M14" s="72">
        <f t="shared" si="5"/>
        <v>7.042253521126761</v>
      </c>
      <c r="N14" s="14"/>
      <c r="O14" s="15"/>
      <c r="P14" s="72"/>
      <c r="Q14" s="68">
        <f>+B14+E14+H14+K14+N14</f>
        <v>248</v>
      </c>
      <c r="R14" s="15">
        <f>0.0229885057471264*100</f>
        <v>2.29885057471264</v>
      </c>
      <c r="S14" s="16">
        <f>+Q14/Q24*100</f>
        <v>10.442105263157893</v>
      </c>
      <c r="T14" s="2"/>
      <c r="U14" s="2"/>
      <c r="V14" s="2"/>
      <c r="W14" s="2"/>
    </row>
    <row r="15" spans="1:23" ht="13.5" customHeight="1" x14ac:dyDescent="0.2">
      <c r="A15" s="56" t="s">
        <v>10</v>
      </c>
      <c r="B15" s="14"/>
      <c r="C15" s="15"/>
      <c r="D15" s="72"/>
      <c r="E15" s="14"/>
      <c r="F15" s="15"/>
      <c r="G15" s="72"/>
      <c r="H15" s="14"/>
      <c r="I15" s="15"/>
      <c r="J15" s="72"/>
      <c r="K15" s="14"/>
      <c r="L15" s="15"/>
      <c r="M15" s="72"/>
      <c r="N15" s="14"/>
      <c r="O15" s="15"/>
      <c r="P15" s="72"/>
      <c r="Q15" s="68"/>
      <c r="R15" s="15"/>
      <c r="S15" s="16"/>
      <c r="T15" s="2"/>
      <c r="U15" s="2"/>
      <c r="V15" s="2"/>
      <c r="W15" s="2"/>
    </row>
    <row r="16" spans="1:23" ht="13.5" customHeight="1" x14ac:dyDescent="0.2">
      <c r="A16" s="56" t="s">
        <v>11</v>
      </c>
      <c r="B16" s="14">
        <v>263</v>
      </c>
      <c r="C16" s="15">
        <f>8/B16*100</f>
        <v>3.041825095057034</v>
      </c>
      <c r="D16" s="72">
        <f>+B16/$B$24*100</f>
        <v>26.59251769464105</v>
      </c>
      <c r="E16" s="14">
        <v>82</v>
      </c>
      <c r="F16" s="15">
        <v>0</v>
      </c>
      <c r="G16" s="72">
        <f t="shared" si="4"/>
        <v>16.205533596837945</v>
      </c>
      <c r="H16" s="14">
        <v>30</v>
      </c>
      <c r="I16" s="15">
        <v>0</v>
      </c>
      <c r="J16" s="72">
        <f>+H16/$H$24*100</f>
        <v>6.3424947145877377</v>
      </c>
      <c r="K16" s="14">
        <v>9</v>
      </c>
      <c r="L16" s="15">
        <v>0</v>
      </c>
      <c r="M16" s="72">
        <f t="shared" ref="M16:M17" si="7">+K16/$K$24*100</f>
        <v>4.225352112676056</v>
      </c>
      <c r="N16" s="33"/>
      <c r="O16" s="34"/>
      <c r="P16" s="77"/>
      <c r="Q16" s="68">
        <f>+B16+E16+H16+K16+N16</f>
        <v>384</v>
      </c>
      <c r="R16" s="15">
        <f>0.0169014084507042*100</f>
        <v>1.6901408450704198</v>
      </c>
      <c r="S16" s="16">
        <f>+Q16/Q24*100</f>
        <v>16.168421052631579</v>
      </c>
      <c r="T16" s="2"/>
      <c r="U16" s="2"/>
      <c r="V16" s="2"/>
      <c r="W16" s="2"/>
    </row>
    <row r="17" spans="1:23" ht="13.5" customHeight="1" x14ac:dyDescent="0.2">
      <c r="A17" s="58" t="s">
        <v>17</v>
      </c>
      <c r="B17" s="59">
        <f>SUM(B11:B16)</f>
        <v>696</v>
      </c>
      <c r="C17" s="59">
        <f>40/B17*100</f>
        <v>5.7471264367816088</v>
      </c>
      <c r="D17" s="70">
        <f t="shared" si="6"/>
        <v>70.374115267947417</v>
      </c>
      <c r="E17" s="59">
        <f>SUM(E11:E16)</f>
        <v>125</v>
      </c>
      <c r="F17" s="59">
        <f>1/E17*100</f>
        <v>0.8</v>
      </c>
      <c r="G17" s="70">
        <f t="shared" si="4"/>
        <v>24.703557312252965</v>
      </c>
      <c r="H17" s="59">
        <f>SUM(H11:H16)</f>
        <v>39</v>
      </c>
      <c r="I17" s="59">
        <f>8/H17*100</f>
        <v>20.512820512820511</v>
      </c>
      <c r="J17" s="70">
        <f t="shared" ref="J17:J24" si="8">+H17/$H$24*100</f>
        <v>8.2452431289640593</v>
      </c>
      <c r="K17" s="59">
        <f>SUM(K11:K16)</f>
        <v>37</v>
      </c>
      <c r="L17" s="59">
        <f>9/K17*100</f>
        <v>24.324324324324326</v>
      </c>
      <c r="M17" s="70">
        <f t="shared" si="7"/>
        <v>17.370892018779344</v>
      </c>
      <c r="N17" s="59">
        <f t="shared" ref="N17" si="9">SUM(N11:N16)</f>
        <v>0</v>
      </c>
      <c r="O17" s="59">
        <f>0.875*100</f>
        <v>87.5</v>
      </c>
      <c r="P17" s="70">
        <f>+N17/$N$24*100</f>
        <v>0</v>
      </c>
      <c r="Q17" s="61">
        <f>SUM(Q11:Q16)</f>
        <v>897</v>
      </c>
      <c r="R17" s="59">
        <f>0.0855991943605237*100</f>
        <v>8.55991943605237</v>
      </c>
      <c r="S17" s="59">
        <f>+Q17/Q24*100</f>
        <v>37.768421052631581</v>
      </c>
      <c r="T17" s="4"/>
      <c r="U17" s="4"/>
      <c r="V17" s="4"/>
      <c r="W17" s="4"/>
    </row>
    <row r="18" spans="1:23" s="6" customFormat="1" ht="13.5" customHeight="1" x14ac:dyDescent="0.2">
      <c r="A18" s="56" t="s">
        <v>12</v>
      </c>
      <c r="B18" s="12"/>
      <c r="C18" s="23"/>
      <c r="D18" s="69"/>
      <c r="E18" s="14">
        <v>40</v>
      </c>
      <c r="F18" s="18">
        <f>28/E18*100</f>
        <v>70</v>
      </c>
      <c r="G18" s="74">
        <f t="shared" si="4"/>
        <v>7.9051383399209492</v>
      </c>
      <c r="H18" s="12"/>
      <c r="I18" s="18"/>
      <c r="J18" s="71"/>
      <c r="K18" s="12"/>
      <c r="L18" s="12"/>
      <c r="M18" s="76"/>
      <c r="N18" s="13"/>
      <c r="O18" s="23"/>
      <c r="P18" s="78"/>
      <c r="Q18" s="68">
        <f>+B18+E18+H18+K18+N18</f>
        <v>40</v>
      </c>
      <c r="R18" s="15">
        <f>0.829268292682927*100</f>
        <v>82.926829268292707</v>
      </c>
      <c r="S18" s="17">
        <f>+Q18/Q24*100</f>
        <v>1.6842105263157894</v>
      </c>
      <c r="T18" s="8"/>
      <c r="U18" s="8"/>
      <c r="V18" s="8"/>
      <c r="W18" s="8"/>
    </row>
    <row r="19" spans="1:23" ht="13.5" customHeight="1" x14ac:dyDescent="0.2">
      <c r="A19" s="56" t="s">
        <v>21</v>
      </c>
      <c r="B19" s="14">
        <v>60</v>
      </c>
      <c r="C19" s="15">
        <f>30/B19*100</f>
        <v>50</v>
      </c>
      <c r="D19" s="72">
        <f t="shared" si="6"/>
        <v>6.0667340748230529</v>
      </c>
      <c r="E19" s="14">
        <v>61</v>
      </c>
      <c r="F19" s="15">
        <f>28/E19*100</f>
        <v>45.901639344262293</v>
      </c>
      <c r="G19" s="72">
        <f t="shared" si="4"/>
        <v>12.055335968379447</v>
      </c>
      <c r="H19" s="14">
        <v>357</v>
      </c>
      <c r="I19" s="15">
        <f>230/H19*100</f>
        <v>64.425770308123248</v>
      </c>
      <c r="J19" s="72">
        <f t="shared" si="8"/>
        <v>75.475687103594083</v>
      </c>
      <c r="K19" s="14">
        <v>117</v>
      </c>
      <c r="L19" s="15">
        <f>72/K19*100</f>
        <v>61.53846153846154</v>
      </c>
      <c r="M19" s="72">
        <f t="shared" ref="M19:M24" si="10">+K19/$K$24*100</f>
        <v>54.929577464788736</v>
      </c>
      <c r="N19" s="14">
        <v>63</v>
      </c>
      <c r="O19" s="15">
        <f>41/N19*100</f>
        <v>65.079365079365076</v>
      </c>
      <c r="P19" s="72">
        <f t="shared" ref="P19:P24" si="11">+N19/$N$24*100</f>
        <v>32.47422680412371</v>
      </c>
      <c r="Q19" s="68">
        <f>+B19+E19+H19+K19+N19</f>
        <v>658</v>
      </c>
      <c r="R19" s="15">
        <f>0.531456953642384*100</f>
        <v>53.145695364238399</v>
      </c>
      <c r="S19" s="16">
        <f>+Q19/Q24*100</f>
        <v>27.705263157894738</v>
      </c>
      <c r="T19" s="2"/>
      <c r="U19" s="2"/>
      <c r="V19" s="2"/>
      <c r="W19" s="2"/>
    </row>
    <row r="20" spans="1:23" ht="13.5" customHeight="1" x14ac:dyDescent="0.2">
      <c r="A20" s="56" t="s">
        <v>13</v>
      </c>
      <c r="B20" s="14"/>
      <c r="C20" s="15"/>
      <c r="D20" s="72"/>
      <c r="E20" s="14"/>
      <c r="F20" s="15"/>
      <c r="G20" s="72"/>
      <c r="H20" s="14">
        <v>15</v>
      </c>
      <c r="I20" s="15">
        <f>5/H20*100</f>
        <v>33.333333333333329</v>
      </c>
      <c r="J20" s="72">
        <f t="shared" si="8"/>
        <v>3.1712473572938689</v>
      </c>
      <c r="K20" s="14">
        <v>14</v>
      </c>
      <c r="L20" s="15">
        <f>10/K20*100</f>
        <v>71.428571428571431</v>
      </c>
      <c r="M20" s="72">
        <f t="shared" si="10"/>
        <v>6.5727699530516439</v>
      </c>
      <c r="N20" s="14">
        <v>56</v>
      </c>
      <c r="O20" s="15">
        <f>23/N20*100</f>
        <v>41.071428571428569</v>
      </c>
      <c r="P20" s="72">
        <f t="shared" si="11"/>
        <v>28.865979381443296</v>
      </c>
      <c r="Q20" s="68">
        <f>+B20+E20+H20+K20+N20</f>
        <v>85</v>
      </c>
      <c r="R20" s="15">
        <f>0.347826086956522*100</f>
        <v>34.7826086956522</v>
      </c>
      <c r="S20" s="16">
        <f>+Q20/Q24*100</f>
        <v>3.5789473684210522</v>
      </c>
      <c r="T20" s="2"/>
      <c r="U20" s="2"/>
      <c r="V20" s="2"/>
      <c r="W20" s="2"/>
    </row>
    <row r="21" spans="1:23" ht="13.5" customHeight="1" x14ac:dyDescent="0.2">
      <c r="A21" s="56" t="s">
        <v>14</v>
      </c>
      <c r="B21" s="14">
        <v>233</v>
      </c>
      <c r="C21" s="15">
        <f>178/B21*100</f>
        <v>76.394849785407729</v>
      </c>
      <c r="D21" s="72">
        <f>+B21/$B$24*100</f>
        <v>23.559150657229523</v>
      </c>
      <c r="E21" s="33">
        <v>280</v>
      </c>
      <c r="F21" s="15">
        <f>149/E21*100</f>
        <v>53.214285714285715</v>
      </c>
      <c r="G21" s="72">
        <f t="shared" si="4"/>
        <v>55.335968379446641</v>
      </c>
      <c r="H21" s="14">
        <v>41</v>
      </c>
      <c r="I21" s="15">
        <f>33/H21*100</f>
        <v>80.487804878048792</v>
      </c>
      <c r="J21" s="72">
        <f t="shared" si="8"/>
        <v>8.6680761099365746</v>
      </c>
      <c r="K21" s="14">
        <v>11</v>
      </c>
      <c r="L21" s="15">
        <f>9/K21*100</f>
        <v>81.818181818181827</v>
      </c>
      <c r="M21" s="72">
        <f t="shared" si="10"/>
        <v>5.164319248826291</v>
      </c>
      <c r="N21" s="14">
        <v>4</v>
      </c>
      <c r="O21" s="15">
        <f>3/N21*100</f>
        <v>75</v>
      </c>
      <c r="P21" s="72">
        <f t="shared" si="11"/>
        <v>2.0618556701030926</v>
      </c>
      <c r="Q21" s="68">
        <f>+B21+E21+H21+K21+N21</f>
        <v>569</v>
      </c>
      <c r="R21" s="15">
        <f>0.767241379310345*100</f>
        <v>76.724137931034491</v>
      </c>
      <c r="S21" s="16">
        <f>+Q21/Q24*100</f>
        <v>23.957894736842107</v>
      </c>
      <c r="T21" s="2"/>
      <c r="U21" s="2"/>
      <c r="V21" s="2"/>
      <c r="W21" s="2"/>
    </row>
    <row r="22" spans="1:23" ht="13.5" customHeight="1" x14ac:dyDescent="0.2">
      <c r="A22" s="56" t="s">
        <v>15</v>
      </c>
      <c r="B22" s="14"/>
      <c r="C22" s="15"/>
      <c r="D22" s="72"/>
      <c r="E22" s="33"/>
      <c r="F22" s="15"/>
      <c r="G22" s="72"/>
      <c r="H22" s="14">
        <v>13</v>
      </c>
      <c r="I22" s="15">
        <f>2/H22*100</f>
        <v>15.384615384615385</v>
      </c>
      <c r="J22" s="72">
        <f t="shared" si="8"/>
        <v>2.7484143763213531</v>
      </c>
      <c r="K22" s="14">
        <v>2</v>
      </c>
      <c r="L22" s="15">
        <f>1/K22*100</f>
        <v>50</v>
      </c>
      <c r="M22" s="72">
        <f t="shared" si="10"/>
        <v>0.93896713615023475</v>
      </c>
      <c r="N22" s="14">
        <v>41</v>
      </c>
      <c r="O22" s="15">
        <f>19/N22*100</f>
        <v>46.341463414634148</v>
      </c>
      <c r="P22" s="72">
        <f t="shared" si="11"/>
        <v>21.134020618556701</v>
      </c>
      <c r="Q22" s="68">
        <f>+B22+E22+H22+K22+N22</f>
        <v>56</v>
      </c>
      <c r="R22" s="15">
        <f>0.403846153846154*100</f>
        <v>40.384615384615401</v>
      </c>
      <c r="S22" s="16">
        <f>+Q22/Q24*10</f>
        <v>0.23578947368421055</v>
      </c>
      <c r="T22" s="2"/>
      <c r="U22" s="2"/>
      <c r="V22" s="2"/>
      <c r="W22" s="2"/>
    </row>
    <row r="23" spans="1:23" ht="13.5" customHeight="1" x14ac:dyDescent="0.2">
      <c r="A23" s="58" t="s">
        <v>25</v>
      </c>
      <c r="B23" s="59">
        <f>SUM(B18:B22)</f>
        <v>293</v>
      </c>
      <c r="C23" s="59">
        <f>208/B23*100</f>
        <v>70.989761092150175</v>
      </c>
      <c r="D23" s="70">
        <f t="shared" si="6"/>
        <v>29.625884732052576</v>
      </c>
      <c r="E23" s="59">
        <f t="shared" ref="E23" si="12">SUM(E18:E22)</f>
        <v>381</v>
      </c>
      <c r="F23" s="59">
        <f>205/E23*100</f>
        <v>53.805774278215225</v>
      </c>
      <c r="G23" s="70">
        <f t="shared" si="4"/>
        <v>75.296442687747032</v>
      </c>
      <c r="H23" s="59">
        <f>SUM(H18:H22)</f>
        <v>426</v>
      </c>
      <c r="I23" s="59">
        <f>270/H23*100</f>
        <v>63.380281690140848</v>
      </c>
      <c r="J23" s="70">
        <f t="shared" si="8"/>
        <v>90.063424947145876</v>
      </c>
      <c r="K23" s="59">
        <f>SUM(K18:K22)</f>
        <v>144</v>
      </c>
      <c r="L23" s="59">
        <f>92/K23*100</f>
        <v>63.888888888888886</v>
      </c>
      <c r="M23" s="70">
        <f t="shared" si="10"/>
        <v>67.605633802816897</v>
      </c>
      <c r="N23" s="59">
        <f t="shared" ref="N23" si="13">SUM(N18:N22)</f>
        <v>164</v>
      </c>
      <c r="O23" s="59">
        <f>86/N23*100</f>
        <v>52.439024390243901</v>
      </c>
      <c r="P23" s="70">
        <f t="shared" si="11"/>
        <v>84.536082474226802</v>
      </c>
      <c r="Q23" s="61">
        <f>SUM(Q18:Q22)</f>
        <v>1408</v>
      </c>
      <c r="R23" s="59">
        <f>689/Q23*100</f>
        <v>48.934659090909086</v>
      </c>
      <c r="S23" s="59">
        <f>+Q23/Q24*100</f>
        <v>59.284210526315796</v>
      </c>
      <c r="T23" s="4"/>
      <c r="U23" s="4"/>
      <c r="V23" s="4"/>
      <c r="W23" s="4"/>
    </row>
    <row r="24" spans="1:23" s="6" customFormat="1" ht="13.5" customHeight="1" x14ac:dyDescent="0.2">
      <c r="A24" s="58" t="s">
        <v>0</v>
      </c>
      <c r="B24" s="59">
        <f>+B17+B23+B10</f>
        <v>989</v>
      </c>
      <c r="C24" s="61">
        <f>248/B24*100</f>
        <v>25.075834175935285</v>
      </c>
      <c r="D24" s="73">
        <f>+B24/$B$24*100</f>
        <v>100</v>
      </c>
      <c r="E24" s="59">
        <f>+E17+E23+E10</f>
        <v>506</v>
      </c>
      <c r="F24" s="61">
        <f>206/E24*100</f>
        <v>40.711462450592883</v>
      </c>
      <c r="G24" s="73">
        <f t="shared" si="4"/>
        <v>100</v>
      </c>
      <c r="H24" s="59">
        <f>+H17+H23+H10</f>
        <v>473</v>
      </c>
      <c r="I24" s="61">
        <f>282/H24*100</f>
        <v>59.619450317124731</v>
      </c>
      <c r="J24" s="73">
        <f t="shared" si="8"/>
        <v>100</v>
      </c>
      <c r="K24" s="59">
        <f>+K10+K17+K23</f>
        <v>213</v>
      </c>
      <c r="L24" s="61">
        <f>120/K24*100</f>
        <v>56.338028169014088</v>
      </c>
      <c r="M24" s="73">
        <f t="shared" si="10"/>
        <v>100</v>
      </c>
      <c r="N24" s="59">
        <f t="shared" ref="N24:S24" si="14">+N10+N17+N23</f>
        <v>194</v>
      </c>
      <c r="O24" s="61">
        <f>103/N24*100</f>
        <v>53.092783505154642</v>
      </c>
      <c r="P24" s="73">
        <f t="shared" si="11"/>
        <v>100</v>
      </c>
      <c r="Q24" s="61">
        <f>+Q10+Q17+Q23</f>
        <v>2375</v>
      </c>
      <c r="R24" s="61">
        <f t="shared" si="14"/>
        <v>119.56354404420287</v>
      </c>
      <c r="S24" s="61">
        <f t="shared" si="14"/>
        <v>100</v>
      </c>
      <c r="T24" s="4"/>
      <c r="U24" s="4"/>
      <c r="V24" s="4"/>
      <c r="W24" s="4"/>
    </row>
    <row r="25" spans="1:23" x14ac:dyDescent="0.2">
      <c r="A25" s="19"/>
      <c r="B25" s="19"/>
      <c r="C25" s="20"/>
      <c r="D25" s="20"/>
      <c r="E25" s="19"/>
      <c r="F25" s="20"/>
      <c r="G25" s="21"/>
      <c r="H25" s="19"/>
      <c r="I25" s="22"/>
      <c r="J25" s="22"/>
    </row>
    <row r="26" spans="1:23" x14ac:dyDescent="0.2">
      <c r="A26" s="57"/>
      <c r="B26" s="19"/>
      <c r="C26" s="20"/>
      <c r="D26" s="20"/>
      <c r="E26" s="19"/>
      <c r="F26" s="20"/>
      <c r="G26" s="20"/>
      <c r="H26" s="19"/>
      <c r="I26" s="22"/>
      <c r="J26" s="22"/>
    </row>
    <row r="27" spans="1:23" x14ac:dyDescent="0.2">
      <c r="A27" s="19"/>
      <c r="B27" s="19"/>
      <c r="C27" s="20"/>
      <c r="D27" s="20"/>
      <c r="E27" s="19"/>
      <c r="F27" s="20"/>
      <c r="G27" s="20"/>
      <c r="H27" s="19"/>
      <c r="I27" s="22"/>
      <c r="J27" s="22"/>
    </row>
    <row r="28" spans="1:23" ht="12.75" customHeight="1" x14ac:dyDescent="0.2">
      <c r="K28" s="4"/>
      <c r="L28" s="4"/>
      <c r="M28" s="4"/>
      <c r="N28" s="4"/>
      <c r="O28" s="4"/>
      <c r="P28" s="4"/>
      <c r="Q28" s="4"/>
      <c r="R28" s="4"/>
      <c r="S28" s="4"/>
    </row>
    <row r="29" spans="1:23" ht="12.75" customHeight="1" x14ac:dyDescent="0.2">
      <c r="K29" s="4"/>
      <c r="L29" s="4"/>
      <c r="M29" s="4"/>
      <c r="N29" s="4"/>
      <c r="O29" s="4"/>
      <c r="P29" s="4"/>
      <c r="Q29" s="4"/>
      <c r="R29" s="4"/>
      <c r="S29" s="4"/>
    </row>
    <row r="30" spans="1:23" customFormat="1" ht="22.5" customHeight="1" x14ac:dyDescent="0.2">
      <c r="A30" s="25" t="s">
        <v>49</v>
      </c>
      <c r="B30" s="11"/>
      <c r="C30" s="11"/>
      <c r="D30" s="11"/>
      <c r="E30" s="11"/>
      <c r="F30" s="11"/>
      <c r="G30" s="11"/>
      <c r="H30" s="11"/>
      <c r="I30" s="11"/>
      <c r="J30" s="37" t="s">
        <v>58</v>
      </c>
      <c r="K30" s="26"/>
    </row>
    <row r="31" spans="1:23" customFormat="1" ht="32.450000000000003" customHeight="1" x14ac:dyDescent="0.2">
      <c r="A31" s="93" t="s">
        <v>59</v>
      </c>
      <c r="B31" s="93"/>
      <c r="C31" s="93"/>
      <c r="D31" s="93"/>
      <c r="E31" s="93"/>
      <c r="F31" s="93"/>
      <c r="G31" s="93"/>
      <c r="H31" s="93"/>
      <c r="I31" s="93"/>
      <c r="J31" s="93"/>
    </row>
    <row r="32" spans="1:23" customFormat="1" ht="12.75" x14ac:dyDescent="0.2">
      <c r="A32" s="89"/>
      <c r="B32" s="89"/>
      <c r="C32" s="89"/>
      <c r="D32" s="89"/>
      <c r="E32" s="11"/>
      <c r="F32" s="11"/>
      <c r="G32" s="11"/>
      <c r="H32" s="11"/>
      <c r="I32" s="11"/>
      <c r="J32" s="11"/>
    </row>
    <row r="33" spans="1:10" customFormat="1" ht="12" customHeight="1" x14ac:dyDescent="0.2">
      <c r="A33" s="2"/>
      <c r="B33" s="11"/>
      <c r="C33" s="11"/>
      <c r="D33" s="11"/>
      <c r="E33" s="11"/>
      <c r="F33" s="11"/>
      <c r="G33" s="11"/>
      <c r="H33" s="11"/>
      <c r="I33" s="11"/>
      <c r="J33" s="11"/>
    </row>
    <row r="34" spans="1:10" x14ac:dyDescent="0.2">
      <c r="A34" s="7" t="s">
        <v>33</v>
      </c>
    </row>
    <row r="36" spans="1:10" s="6" customFormat="1" x14ac:dyDescent="0.2">
      <c r="I36" s="5"/>
      <c r="J36" s="5"/>
    </row>
    <row r="37" spans="1:10" s="6" customFormat="1" x14ac:dyDescent="0.2">
      <c r="D37" s="35"/>
      <c r="I37" s="5"/>
      <c r="J37" s="5"/>
    </row>
  </sheetData>
  <mergeCells count="11">
    <mergeCell ref="A1:C1"/>
    <mergeCell ref="B5:D5"/>
    <mergeCell ref="E5:G5"/>
    <mergeCell ref="A3:G3"/>
    <mergeCell ref="A31:J31"/>
    <mergeCell ref="H5:J5"/>
    <mergeCell ref="K5:M5"/>
    <mergeCell ref="N5:P5"/>
    <mergeCell ref="Q5:S5"/>
    <mergeCell ref="A5:A6"/>
    <mergeCell ref="A32:D32"/>
  </mergeCells>
  <phoneticPr fontId="0" type="noConversion"/>
  <printOptions horizontalCentered="1"/>
  <pageMargins left="0" right="0" top="0.59055118110236227" bottom="0.59055118110236227" header="0.51181102362204722" footer="0.51181102362204722"/>
  <pageSetup paperSize="9" scale="64" orientation="landscape" r:id="rId1"/>
  <headerFooter alignWithMargins="0"/>
  <ignoredErrors>
    <ignoredError sqref="Q10:Q17 J10 D10:G1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06D342AC-99C6-421C-B98D-537A759BAA4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5.02 Notice</vt:lpstr>
      <vt:lpstr>5.02 Graphique 1</vt:lpstr>
      <vt:lpstr>5.02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;5.03</dc:title>
  <dc:creator>DEPP-MENJ - Ministère de l'Education nationale et de la Jeunesse;Direction de l'évaluation de la prospective et de la performance</dc:creator>
  <cp:lastModifiedBy>Santa Susini</cp:lastModifiedBy>
  <cp:lastPrinted>2024-01-19T14:57:42Z</cp:lastPrinted>
  <dcterms:created xsi:type="dcterms:W3CDTF">2008-05-26T15:03:21Z</dcterms:created>
  <dcterms:modified xsi:type="dcterms:W3CDTF">2024-01-19T14:57:50Z</dcterms:modified>
  <cp:contentStatus>Publié</cp:contentStatus>
</cp:coreProperties>
</file>