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1C443BE3-132E-4E72-AAC2-29B8CDF06555}" xr6:coauthVersionLast="36" xr6:coauthVersionMax="36" xr10:uidLastSave="{00000000-0000-0000-0000-000000000000}"/>
  <bookViews>
    <workbookView xWindow="0" yWindow="0" windowWidth="28800" windowHeight="12045" tabRatio="741" xr2:uid="{00000000-000D-0000-FFFF-FFFF00000000}"/>
  </bookViews>
  <sheets>
    <sheet name="2.04 Notice" sheetId="7" r:id="rId1"/>
    <sheet name="2.04 Graph 1" sheetId="11" r:id="rId2"/>
    <sheet name="2.04 Tableau 2" sheetId="8" r:id="rId3"/>
    <sheet name="2.04 Tableau 3" sheetId="12" r:id="rId4"/>
    <sheet name="2.04 Tableau 4" sheetId="13" r:id="rId5"/>
    <sheet name="2.04 Tableau 5" sheetId="1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4" l="1"/>
  <c r="G22" i="14"/>
  <c r="H18" i="14"/>
  <c r="G18" i="14"/>
  <c r="G14" i="14"/>
  <c r="H13" i="14"/>
  <c r="G13" i="14"/>
  <c r="F24" i="14"/>
  <c r="F22" i="14"/>
  <c r="F18" i="14"/>
  <c r="F14" i="14"/>
  <c r="F13" i="14"/>
  <c r="K12" i="8" l="1"/>
  <c r="K11" i="8"/>
  <c r="K10" i="8"/>
  <c r="K8" i="8"/>
  <c r="K7" i="8"/>
  <c r="K6" i="8"/>
  <c r="O19" i="14" l="1"/>
  <c r="O18" i="14"/>
  <c r="N19" i="14"/>
  <c r="N18" i="14"/>
  <c r="M19" i="14"/>
  <c r="M18" i="14"/>
  <c r="O9" i="14"/>
  <c r="N9" i="14"/>
  <c r="M9" i="14"/>
  <c r="O10" i="14"/>
  <c r="N10" i="14"/>
  <c r="M10" i="14"/>
  <c r="O20" i="14" l="1"/>
  <c r="N20" i="14"/>
  <c r="M20" i="14"/>
  <c r="O11" i="14"/>
  <c r="N11" i="14"/>
  <c r="M11" i="14"/>
  <c r="A3" i="14"/>
  <c r="N20" i="13"/>
  <c r="N19" i="13"/>
  <c r="N7" i="13"/>
  <c r="N6" i="13"/>
  <c r="M20" i="13"/>
  <c r="M19" i="13"/>
  <c r="L20" i="13"/>
  <c r="L19" i="13"/>
  <c r="A3" i="13"/>
  <c r="N21" i="13" l="1"/>
  <c r="M21" i="13"/>
  <c r="L21" i="13"/>
  <c r="M7" i="13" l="1"/>
  <c r="M6" i="13"/>
  <c r="L7" i="13"/>
  <c r="L6" i="13"/>
  <c r="E37" i="13"/>
  <c r="F37" i="13"/>
  <c r="G37" i="13"/>
  <c r="F25" i="14"/>
  <c r="G25" i="14"/>
  <c r="H25" i="14"/>
  <c r="I9" i="14"/>
  <c r="I10" i="14"/>
  <c r="J10" i="14" s="1"/>
  <c r="I11" i="14"/>
  <c r="I12" i="14"/>
  <c r="J12" i="14" s="1"/>
  <c r="I13" i="14"/>
  <c r="J13" i="14" s="1"/>
  <c r="I14" i="14"/>
  <c r="J14" i="14" s="1"/>
  <c r="I15" i="14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K14" i="8" l="1"/>
  <c r="J9" i="14"/>
  <c r="F15" i="12"/>
  <c r="F10" i="12"/>
  <c r="K15" i="8"/>
  <c r="K16" i="8"/>
  <c r="J15" i="14"/>
  <c r="D15" i="12"/>
  <c r="D10" i="12"/>
  <c r="E10" i="12"/>
  <c r="E15" i="12"/>
  <c r="I25" i="14"/>
  <c r="G26" i="14" s="1"/>
  <c r="J11" i="14"/>
  <c r="L8" i="13"/>
  <c r="M8" i="13"/>
  <c r="H26" i="14" l="1"/>
  <c r="D13" i="12"/>
  <c r="D12" i="12"/>
  <c r="D11" i="12"/>
  <c r="J25" i="14"/>
  <c r="D8" i="12"/>
  <c r="D7" i="12"/>
  <c r="D6" i="12"/>
  <c r="F26" i="14"/>
  <c r="E11" i="12"/>
  <c r="E13" i="12"/>
  <c r="E12" i="12"/>
  <c r="F7" i="12"/>
  <c r="F6" i="12"/>
  <c r="F8" i="12"/>
  <c r="F13" i="12"/>
  <c r="F11" i="12"/>
  <c r="F12" i="12"/>
  <c r="E8" i="12"/>
  <c r="E7" i="12"/>
  <c r="E6" i="12"/>
  <c r="N8" i="13"/>
  <c r="H6" i="13" l="1"/>
  <c r="H7" i="13"/>
  <c r="I7" i="13" s="1"/>
  <c r="H8" i="13"/>
  <c r="I8" i="13" s="1"/>
  <c r="H9" i="13"/>
  <c r="I9" i="13" s="1"/>
  <c r="H10" i="13"/>
  <c r="I10" i="13" s="1"/>
  <c r="H11" i="13"/>
  <c r="I11" i="13" s="1"/>
  <c r="H12" i="13"/>
  <c r="I12" i="13" s="1"/>
  <c r="H13" i="13"/>
  <c r="I13" i="13" s="1"/>
  <c r="H14" i="13"/>
  <c r="I14" i="13" s="1"/>
  <c r="H15" i="13"/>
  <c r="I15" i="13" s="1"/>
  <c r="H16" i="13"/>
  <c r="I16" i="13" s="1"/>
  <c r="H17" i="13"/>
  <c r="I17" i="13" s="1"/>
  <c r="H18" i="13"/>
  <c r="H19" i="13"/>
  <c r="I19" i="13" s="1"/>
  <c r="H20" i="13"/>
  <c r="I20" i="13" s="1"/>
  <c r="H21" i="13"/>
  <c r="I21" i="13" s="1"/>
  <c r="H22" i="13"/>
  <c r="I22" i="13" s="1"/>
  <c r="H23" i="13"/>
  <c r="I23" i="13" s="1"/>
  <c r="H24" i="13"/>
  <c r="I24" i="13" s="1"/>
  <c r="H25" i="13"/>
  <c r="I25" i="13" s="1"/>
  <c r="H26" i="13"/>
  <c r="I26" i="13" s="1"/>
  <c r="H27" i="13"/>
  <c r="I27" i="13" s="1"/>
  <c r="H28" i="13"/>
  <c r="I28" i="13" s="1"/>
  <c r="H29" i="13"/>
  <c r="I29" i="13" s="1"/>
  <c r="H30" i="13"/>
  <c r="I30" i="13" s="1"/>
  <c r="H31" i="13"/>
  <c r="I31" i="13" s="1"/>
  <c r="H32" i="13"/>
  <c r="I32" i="13" s="1"/>
  <c r="H33" i="13"/>
  <c r="I33" i="13" s="1"/>
  <c r="H34" i="13"/>
  <c r="I34" i="13" s="1"/>
  <c r="H35" i="13"/>
  <c r="I35" i="13" s="1"/>
  <c r="H36" i="13"/>
  <c r="I36" i="13" s="1"/>
  <c r="I18" i="13" l="1"/>
  <c r="K13" i="8"/>
  <c r="K9" i="8"/>
  <c r="I6" i="13"/>
  <c r="C15" i="12"/>
  <c r="C10" i="12"/>
  <c r="C6" i="12" s="1"/>
  <c r="H37" i="13"/>
  <c r="C8" i="12" l="1"/>
  <c r="C7" i="12"/>
  <c r="G10" i="12"/>
  <c r="C11" i="12"/>
  <c r="C13" i="12"/>
  <c r="C12" i="12"/>
  <c r="G15" i="12"/>
  <c r="G38" i="13"/>
  <c r="F38" i="13"/>
  <c r="E38" i="13"/>
  <c r="I37" i="13"/>
  <c r="H14" i="12"/>
  <c r="A3" i="12"/>
  <c r="G14" i="12"/>
  <c r="A1" i="12"/>
  <c r="L6" i="8"/>
  <c r="L11" i="8"/>
  <c r="L7" i="8"/>
  <c r="I16" i="8"/>
  <c r="I15" i="8"/>
  <c r="I14" i="8"/>
  <c r="I13" i="8"/>
  <c r="J11" i="8" s="1"/>
  <c r="I9" i="8"/>
  <c r="J7" i="8" s="1"/>
  <c r="G16" i="8"/>
  <c r="G15" i="8"/>
  <c r="G14" i="8"/>
  <c r="G13" i="8"/>
  <c r="H10" i="8" s="1"/>
  <c r="G9" i="8"/>
  <c r="H7" i="8" s="1"/>
  <c r="E16" i="8"/>
  <c r="E15" i="8"/>
  <c r="E14" i="8"/>
  <c r="E13" i="8"/>
  <c r="F10" i="8" s="1"/>
  <c r="E9" i="8"/>
  <c r="F8" i="8" s="1"/>
  <c r="C13" i="8"/>
  <c r="D11" i="8" s="1"/>
  <c r="C16" i="8"/>
  <c r="C15" i="8"/>
  <c r="C14" i="8"/>
  <c r="J10" i="8" l="1"/>
  <c r="H9" i="12"/>
  <c r="C9" i="12"/>
  <c r="I17" i="8"/>
  <c r="J16" i="8" s="1"/>
  <c r="H11" i="8"/>
  <c r="C17" i="8"/>
  <c r="L17" i="8" s="1"/>
  <c r="G8" i="12"/>
  <c r="G6" i="12"/>
  <c r="G7" i="12"/>
  <c r="H6" i="8"/>
  <c r="H12" i="8"/>
  <c r="C14" i="12"/>
  <c r="F9" i="12"/>
  <c r="E14" i="12"/>
  <c r="E9" i="12"/>
  <c r="F14" i="12"/>
  <c r="J15" i="8"/>
  <c r="D17" i="8"/>
  <c r="F6" i="8"/>
  <c r="J14" i="8"/>
  <c r="F12" i="8"/>
  <c r="L8" i="8"/>
  <c r="F7" i="8"/>
  <c r="F11" i="8"/>
  <c r="J6" i="8"/>
  <c r="L10" i="8"/>
  <c r="J8" i="8"/>
  <c r="L12" i="8"/>
  <c r="E17" i="8"/>
  <c r="F14" i="8" s="1"/>
  <c r="G17" i="8"/>
  <c r="H14" i="8" s="1"/>
  <c r="K17" i="8"/>
  <c r="L14" i="8" s="1"/>
  <c r="F6" i="11" s="1"/>
  <c r="H6" i="11" s="1"/>
  <c r="H8" i="8"/>
  <c r="J12" i="8"/>
  <c r="L9" i="8"/>
  <c r="F17" i="8"/>
  <c r="D14" i="8"/>
  <c r="D15" i="8"/>
  <c r="H17" i="8"/>
  <c r="D16" i="8"/>
  <c r="D10" i="8"/>
  <c r="D12" i="8"/>
  <c r="A3" i="11"/>
  <c r="A3" i="8"/>
  <c r="J17" i="8" l="1"/>
  <c r="G9" i="12"/>
  <c r="D13" i="8"/>
  <c r="L13" i="8"/>
  <c r="D14" i="12"/>
  <c r="D9" i="12"/>
  <c r="L16" i="8"/>
  <c r="F8" i="11" s="1"/>
  <c r="H8" i="11" s="1"/>
  <c r="F16" i="8"/>
  <c r="F15" i="8"/>
  <c r="H15" i="8"/>
  <c r="H16" i="8"/>
  <c r="L15" i="8"/>
  <c r="F7" i="11" s="1"/>
  <c r="H7" i="11" s="1"/>
  <c r="F13" i="8"/>
  <c r="H13" i="8"/>
  <c r="J13" i="8"/>
  <c r="A1" i="11"/>
  <c r="A1" i="8"/>
  <c r="C9" i="8" l="1"/>
  <c r="F9" i="8" l="1"/>
  <c r="J9" i="8"/>
  <c r="H9" i="8"/>
  <c r="D7" i="8"/>
  <c r="D6" i="8"/>
  <c r="D8" i="8"/>
  <c r="D9" i="8" l="1"/>
</calcChain>
</file>

<file path=xl/sharedStrings.xml><?xml version="1.0" encoding="utf-8"?>
<sst xmlns="http://schemas.openxmlformats.org/spreadsheetml/2006/main" count="346" uniqueCount="164">
  <si>
    <t>Source</t>
  </si>
  <si>
    <t>https://www.ac-corse.fr/l-academie-en-chiffres-123583</t>
  </si>
  <si>
    <t>Repères statistiques corses</t>
  </si>
  <si>
    <t>Publication annuelle de la division de la prospective et des statistiques académiques (DPSA) de l'Académie de Corse.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</si>
  <si>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</si>
  <si>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</si>
  <si>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</si>
  <si>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</si>
  <si>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</si>
  <si>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</si>
  <si>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</si>
  <si>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</si>
  <si>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2019</t>
  </si>
  <si>
    <t>Sous-total 1</t>
  </si>
  <si>
    <t>Sous-total 2</t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</si>
  <si>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</si>
  <si>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2021</t>
  </si>
  <si>
    <t>2022</t>
  </si>
  <si>
    <t>Actualisé le</t>
  </si>
  <si>
    <t>DEPP, Système d’information Scolarité.</t>
  </si>
  <si>
    <t>Effectifs</t>
  </si>
  <si>
    <t>DPSA, RSC 2023</t>
  </si>
  <si>
    <t>2023</t>
  </si>
  <si>
    <t>2.04 L’hébergement des élèves dans les établissements du second degré</t>
  </si>
  <si>
    <t>[1] Évolution de la répartition des élèves selon leur mode d'hébergement</t>
  </si>
  <si>
    <t>[2] Évolution des modes d'hébergement des élèves du second degré</t>
  </si>
  <si>
    <t>[3] Répartition des élèves du second degré et du post-bac selon le mode d'hébergement et le type d'établissement à la rentrée 2023</t>
  </si>
  <si>
    <t>Un établissement qui a des internes ou des demi-pensionnaires n’a pas pour autant automatiquement un internat ou une demi-pension, les élèves internes ou demi-pensionnaires pouvant être « hébergés » dans un autre établissement que celui qui les scolarise.</t>
  </si>
  <si>
    <t>Champ : Région corse Public + Privé sous contrat, hors post-bac.</t>
  </si>
  <si>
    <t>Source : SYSCA</t>
  </si>
  <si>
    <t>Demi-pensionnaires</t>
  </si>
  <si>
    <t>Externes</t>
  </si>
  <si>
    <t>Internes</t>
  </si>
  <si>
    <t>2016</t>
  </si>
  <si>
    <t>Secteur</t>
  </si>
  <si>
    <t>Modes d'hébergement</t>
  </si>
  <si>
    <t>Public</t>
  </si>
  <si>
    <t>Privé</t>
  </si>
  <si>
    <t>Ensemble</t>
  </si>
  <si>
    <t>Sous-total 3</t>
  </si>
  <si>
    <t>Effectifs 2016</t>
  </si>
  <si>
    <t>% 2016</t>
  </si>
  <si>
    <t>Effectifs 2019</t>
  </si>
  <si>
    <t>% 2019</t>
  </si>
  <si>
    <t>Effectifs 2021</t>
  </si>
  <si>
    <t>% 2021</t>
  </si>
  <si>
    <t>Effectifs 2022</t>
  </si>
  <si>
    <t>% 2022</t>
  </si>
  <si>
    <t>Effectifs 2023</t>
  </si>
  <si>
    <t>% 2023</t>
  </si>
  <si>
    <t>Collège</t>
  </si>
  <si>
    <t>EREA</t>
  </si>
  <si>
    <t>LP</t>
  </si>
  <si>
    <t>LEGT</t>
  </si>
  <si>
    <t>Total</t>
  </si>
  <si>
    <t>dont post-bac</t>
  </si>
  <si>
    <t>dont Public</t>
  </si>
  <si>
    <t>Département</t>
  </si>
  <si>
    <t>RNE</t>
  </si>
  <si>
    <t>NOM</t>
  </si>
  <si>
    <t>Corse du sud</t>
  </si>
  <si>
    <t>6200006M</t>
  </si>
  <si>
    <t>Arthur Giovoni</t>
  </si>
  <si>
    <t>6200010S</t>
  </si>
  <si>
    <t>Fesch</t>
  </si>
  <si>
    <t>6200011T</t>
  </si>
  <si>
    <t>Laetitia Bonaparte</t>
  </si>
  <si>
    <t>6200015X</t>
  </si>
  <si>
    <t>Bonifacio</t>
  </si>
  <si>
    <t>6200026J</t>
  </si>
  <si>
    <t>J. De Rocca Serra</t>
  </si>
  <si>
    <t>6200040Z</t>
  </si>
  <si>
    <t>Léon Boujot</t>
  </si>
  <si>
    <t>6200041A</t>
  </si>
  <si>
    <t>Jean Nicoli</t>
  </si>
  <si>
    <t>6200045E</t>
  </si>
  <si>
    <t>du Taravu André Giusti</t>
  </si>
  <si>
    <t>6200048H</t>
  </si>
  <si>
    <t>Camille Borossi</t>
  </si>
  <si>
    <t>6200055R</t>
  </si>
  <si>
    <t>Georges Clémenceau</t>
  </si>
  <si>
    <t>6200080T</t>
  </si>
  <si>
    <t>Porticcio</t>
  </si>
  <si>
    <t>6200084X</t>
  </si>
  <si>
    <t>du Stilettu</t>
  </si>
  <si>
    <t>6200185G</t>
  </si>
  <si>
    <t>Saint-Paul</t>
  </si>
  <si>
    <t>6200191N</t>
  </si>
  <si>
    <t>Baléone</t>
  </si>
  <si>
    <t>6200697N</t>
  </si>
  <si>
    <t>Maria de Peretti</t>
  </si>
  <si>
    <t>Haute Corse</t>
  </si>
  <si>
    <t>7200004S</t>
  </si>
  <si>
    <t>Pascal Paoli</t>
  </si>
  <si>
    <t>7200012A</t>
  </si>
  <si>
    <t>Saint Joseph</t>
  </si>
  <si>
    <t>7200013B</t>
  </si>
  <si>
    <t>Montesoro</t>
  </si>
  <si>
    <t>7200017F</t>
  </si>
  <si>
    <t>Jean Orabona</t>
  </si>
  <si>
    <t>7200020J</t>
  </si>
  <si>
    <t>Philippe Pescetti</t>
  </si>
  <si>
    <t>7200025P</t>
  </si>
  <si>
    <t>7200027S</t>
  </si>
  <si>
    <t>du Cap</t>
  </si>
  <si>
    <t>7200028T</t>
  </si>
  <si>
    <t>Moltifao</t>
  </si>
  <si>
    <t>7200044K</t>
  </si>
  <si>
    <t>Maria Ghentile</t>
  </si>
  <si>
    <t>7200053V</t>
  </si>
  <si>
    <t>Lucciana</t>
  </si>
  <si>
    <t>7200086F</t>
  </si>
  <si>
    <t>Fiumorbu</t>
  </si>
  <si>
    <t>7200139N</t>
  </si>
  <si>
    <t>Pensionnat Jeanne d'Arc</t>
  </si>
  <si>
    <t>7200160L</t>
  </si>
  <si>
    <t>la Casinca</t>
  </si>
  <si>
    <t>7200612C</t>
  </si>
  <si>
    <t>Giraud</t>
  </si>
  <si>
    <t>7200624R</t>
  </si>
  <si>
    <t>Simon Vinciguerra</t>
  </si>
  <si>
    <t>7200727C</t>
  </si>
  <si>
    <t>Campo Vallone</t>
  </si>
  <si>
    <t>Type</t>
  </si>
  <si>
    <t>6200001G</t>
  </si>
  <si>
    <t>6200002H</t>
  </si>
  <si>
    <t>6200003J</t>
  </si>
  <si>
    <t>Jules Antonini</t>
  </si>
  <si>
    <t>6200004K</t>
  </si>
  <si>
    <t>Finosello</t>
  </si>
  <si>
    <t>6200043C</t>
  </si>
  <si>
    <t>LPO</t>
  </si>
  <si>
    <t>6200063Z</t>
  </si>
  <si>
    <t>Jean Paul de Rocca Serra</t>
  </si>
  <si>
    <t>6200636X</t>
  </si>
  <si>
    <t>6200650M</t>
  </si>
  <si>
    <t>LG</t>
  </si>
  <si>
    <t>Instution Saint Paul</t>
  </si>
  <si>
    <t>7200009X</t>
  </si>
  <si>
    <t>Giocante</t>
  </si>
  <si>
    <t>7200011Z</t>
  </si>
  <si>
    <t>Fred Scamaroni</t>
  </si>
  <si>
    <t>7200021K</t>
  </si>
  <si>
    <t>7200073S</t>
  </si>
  <si>
    <t>7200093N</t>
  </si>
  <si>
    <t>7200123W</t>
  </si>
  <si>
    <t>de Balagne</t>
  </si>
  <si>
    <t>7200583W</t>
  </si>
  <si>
    <t>Paul Vincensini</t>
  </si>
  <si>
    <t>7200719U</t>
  </si>
  <si>
    <t>Fium Orbu</t>
  </si>
  <si>
    <t>Effectifs Demi-pensionnaires</t>
  </si>
  <si>
    <t>Effectifs Externes</t>
  </si>
  <si>
    <t>Effectifs Internes</t>
  </si>
  <si>
    <t>Champs : MEN</t>
  </si>
  <si>
    <t>% Demi-pensionnaires</t>
  </si>
  <si>
    <t>Rouge : valeur basse</t>
  </si>
  <si>
    <t>Vert : valeur haute</t>
  </si>
  <si>
    <t>Gris : valeurs sous la moyenne</t>
  </si>
  <si>
    <t>[4] Répartition des collégiens par établissement selon le mode d'hébergement à la rentrée 2023</t>
  </si>
  <si>
    <t>[5] Répartition des lycéens par établissement selon le mode d'hébergement à la rentrée 2023</t>
  </si>
  <si>
    <t>2.02 Les collèges et les lycées de l'académie</t>
  </si>
  <si>
    <t>%</t>
  </si>
  <si>
    <t>Champ : Région corse Public + Privé sous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</si>
</sst>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#,##0.0"/>
    <numFmt numFmtId="166" formatCode="0.0%"/>
  </numFmts>
  <fonts count="22" x14ac:knownFonts="1"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sz val="9"/>
      <color theme="1"/>
      <name val="Arial"/>
      <family val="2"/>
    </font>
    <font>
      <b/>
      <sz val="13"/>
      <color theme="3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rgb="FF00006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1"/>
      <color theme="3"/>
      <name val="Arial"/>
      <family val="2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3" fillId="0" borderId="1" applyNumberFormat="0" applyFill="0" applyAlignment="0" applyProtection="0"/>
    <xf numFmtId="9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1" fillId="0" borderId="0"/>
    <xf numFmtId="0" fontId="19" fillId="0" borderId="7" applyNumberFormat="0" applyFill="0" applyAlignment="0" applyProtection="0"/>
  </cellStyleXfs>
  <cellXfs count="116">
    <xf numFmtId="0" fontId="0" fillId="0" borderId="0" xfId="0"/>
    <xf numFmtId="0" fontId="2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>
      <alignment horizontal="right" vertical="center"/>
    </xf>
    <xf numFmtId="166" fontId="10" fillId="0" borderId="0" xfId="3" applyNumberFormat="1" applyFont="1" applyFill="1" applyBorder="1" applyAlignment="1">
      <alignment horizontal="right" vertical="center"/>
    </xf>
    <xf numFmtId="0" fontId="14" fillId="0" borderId="0" xfId="6" applyFont="1" applyFill="1" applyAlignment="1">
      <alignment vertical="center" wrapText="1"/>
    </xf>
    <xf numFmtId="0" fontId="14" fillId="0" borderId="0" xfId="6" applyFont="1" applyFill="1" applyAlignment="1">
      <alignment vertical="center"/>
    </xf>
    <xf numFmtId="0" fontId="14" fillId="0" borderId="0" xfId="6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5" fillId="0" borderId="3" xfId="4" applyAlignment="1">
      <alignment vertical="center" wrapText="1"/>
    </xf>
    <xf numFmtId="0" fontId="5" fillId="0" borderId="3" xfId="4" applyAlignment="1">
      <alignment vertical="center"/>
    </xf>
    <xf numFmtId="0" fontId="1" fillId="0" borderId="0" xfId="8" applyFont="1" applyAlignment="1">
      <alignment vertical="center"/>
    </xf>
    <xf numFmtId="0" fontId="10" fillId="0" borderId="0" xfId="6" applyFont="1" applyFill="1" applyAlignment="1">
      <alignment vertical="center" wrapText="1"/>
    </xf>
    <xf numFmtId="0" fontId="15" fillId="0" borderId="0" xfId="1" applyFont="1" applyAlignment="1">
      <alignment horizontal="justify" vertical="center" wrapText="1"/>
    </xf>
    <xf numFmtId="0" fontId="9" fillId="0" borderId="0" xfId="8" applyFont="1" applyBorder="1" applyAlignment="1">
      <alignment vertical="center"/>
    </xf>
    <xf numFmtId="0" fontId="1" fillId="0" borderId="0" xfId="8" applyFont="1" applyBorder="1" applyAlignment="1">
      <alignment horizontal="right" vertical="center"/>
    </xf>
    <xf numFmtId="0" fontId="10" fillId="0" borderId="0" xfId="8" applyFont="1" applyBorder="1" applyAlignment="1">
      <alignment vertical="center"/>
    </xf>
    <xf numFmtId="0" fontId="14" fillId="0" borderId="0" xfId="8" applyFont="1" applyBorder="1" applyAlignment="1">
      <alignment horizontal="right" vertical="center"/>
    </xf>
    <xf numFmtId="0" fontId="14" fillId="0" borderId="0" xfId="8" applyFont="1" applyAlignment="1">
      <alignment vertical="center"/>
    </xf>
    <xf numFmtId="0" fontId="10" fillId="0" borderId="0" xfId="8" applyFont="1" applyBorder="1" applyAlignment="1">
      <alignment horizontal="left" vertical="center"/>
    </xf>
    <xf numFmtId="3" fontId="10" fillId="0" borderId="0" xfId="8" applyNumberFormat="1" applyFont="1" applyBorder="1" applyAlignment="1">
      <alignment horizontal="right" vertical="center"/>
    </xf>
    <xf numFmtId="3" fontId="10" fillId="0" borderId="0" xfId="8" applyNumberFormat="1" applyFont="1" applyAlignment="1">
      <alignment vertical="center"/>
    </xf>
    <xf numFmtId="3" fontId="13" fillId="0" borderId="0" xfId="8" applyNumberFormat="1" applyFont="1" applyBorder="1" applyAlignment="1">
      <alignment horizontal="right" vertical="center"/>
    </xf>
    <xf numFmtId="165" fontId="13" fillId="0" borderId="0" xfId="8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right" vertical="center"/>
    </xf>
    <xf numFmtId="0" fontId="9" fillId="0" borderId="0" xfId="8" quotePrefix="1" applyFont="1" applyBorder="1" applyAlignment="1">
      <alignment vertical="center"/>
    </xf>
    <xf numFmtId="0" fontId="9" fillId="0" borderId="0" xfId="8" quotePrefix="1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1" applyFont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8" applyFont="1" applyFill="1" applyAlignment="1">
      <alignment vertical="center"/>
    </xf>
    <xf numFmtId="9" fontId="10" fillId="0" borderId="2" xfId="0" quotePrefix="1" applyNumberFormat="1" applyFont="1" applyFill="1" applyBorder="1" applyAlignment="1">
      <alignment vertical="center" wrapText="1"/>
    </xf>
    <xf numFmtId="0" fontId="10" fillId="0" borderId="2" xfId="0" quotePrefix="1" applyFont="1" applyFill="1" applyBorder="1" applyAlignment="1">
      <alignment vertical="center" wrapText="1"/>
    </xf>
    <xf numFmtId="0" fontId="11" fillId="0" borderId="0" xfId="8" applyAlignment="1">
      <alignment vertical="center"/>
    </xf>
    <xf numFmtId="0" fontId="2" fillId="0" borderId="0" xfId="8" applyFont="1" applyBorder="1" applyAlignment="1">
      <alignment vertical="center"/>
    </xf>
    <xf numFmtId="0" fontId="2" fillId="0" borderId="0" xfId="8" applyFont="1" applyBorder="1" applyAlignment="1">
      <alignment horizontal="right" vertical="center"/>
    </xf>
    <xf numFmtId="0" fontId="16" fillId="0" borderId="5" xfId="8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7" fillId="0" borderId="0" xfId="3" applyNumberFormat="1" applyFont="1" applyFill="1" applyBorder="1" applyAlignment="1">
      <alignment horizontal="right" vertical="center"/>
    </xf>
    <xf numFmtId="0" fontId="6" fillId="0" borderId="0" xfId="8" applyFont="1" applyAlignment="1">
      <alignment vertical="center"/>
    </xf>
    <xf numFmtId="0" fontId="17" fillId="0" borderId="0" xfId="8" applyFont="1" applyAlignment="1">
      <alignment vertical="center"/>
    </xf>
    <xf numFmtId="166" fontId="17" fillId="0" borderId="0" xfId="3" applyNumberFormat="1" applyFont="1" applyFill="1" applyAlignment="1">
      <alignment horizontal="right" vertical="center"/>
    </xf>
    <xf numFmtId="166" fontId="16" fillId="0" borderId="0" xfId="3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166" fontId="9" fillId="0" borderId="6" xfId="3" applyNumberFormat="1" applyFont="1" applyFill="1" applyBorder="1" applyAlignment="1">
      <alignment horizontal="right" vertical="center"/>
    </xf>
    <xf numFmtId="166" fontId="17" fillId="0" borderId="6" xfId="3" applyNumberFormat="1" applyFont="1" applyFill="1" applyBorder="1" applyAlignment="1">
      <alignment horizontal="right" vertical="center"/>
    </xf>
    <xf numFmtId="0" fontId="18" fillId="0" borderId="0" xfId="10" applyFont="1" applyFill="1" applyAlignment="1">
      <alignment vertical="center"/>
    </xf>
    <xf numFmtId="0" fontId="1" fillId="0" borderId="0" xfId="10" applyFont="1"/>
    <xf numFmtId="0" fontId="9" fillId="0" borderId="0" xfId="10" applyFont="1"/>
    <xf numFmtId="0" fontId="9" fillId="0" borderId="0" xfId="10" applyFont="1" applyFill="1" applyBorder="1" applyAlignment="1"/>
    <xf numFmtId="0" fontId="10" fillId="0" borderId="0" xfId="10" applyFont="1" applyFill="1"/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/>
    <xf numFmtId="0" fontId="10" fillId="0" borderId="0" xfId="10" applyNumberFormat="1" applyFont="1" applyBorder="1" applyAlignment="1">
      <alignment horizontal="center" vertical="center" wrapText="1"/>
    </xf>
    <xf numFmtId="0" fontId="9" fillId="0" borderId="0" xfId="10" applyFont="1" applyAlignment="1">
      <alignment wrapText="1"/>
    </xf>
    <xf numFmtId="0" fontId="9" fillId="0" borderId="0" xfId="6" applyFont="1" applyFill="1" applyBorder="1" applyAlignment="1">
      <alignment horizontal="center" vertical="center" wrapText="1"/>
    </xf>
    <xf numFmtId="0" fontId="10" fillId="0" borderId="0" xfId="6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3" fontId="9" fillId="0" borderId="0" xfId="10" applyNumberFormat="1" applyFont="1"/>
    <xf numFmtId="0" fontId="17" fillId="0" borderId="0" xfId="6" applyFont="1" applyFill="1" applyBorder="1" applyAlignment="1">
      <alignment horizontal="center" vertical="center" wrapText="1"/>
    </xf>
    <xf numFmtId="0" fontId="9" fillId="0" borderId="0" xfId="10" applyFont="1" applyAlignment="1"/>
    <xf numFmtId="0" fontId="16" fillId="0" borderId="0" xfId="6" applyNumberFormat="1" applyFont="1" applyFill="1" applyAlignment="1">
      <alignment horizontal="center" vertical="center" wrapText="1"/>
    </xf>
    <xf numFmtId="166" fontId="17" fillId="0" borderId="0" xfId="3" applyNumberFormat="1" applyFont="1" applyFill="1" applyBorder="1" applyAlignment="1" applyProtection="1"/>
    <xf numFmtId="0" fontId="3" fillId="0" borderId="1" xfId="2" applyAlignment="1">
      <alignment vertical="center"/>
    </xf>
    <xf numFmtId="0" fontId="1" fillId="0" borderId="0" xfId="10" applyFont="1" applyAlignment="1">
      <alignment vertical="center"/>
    </xf>
    <xf numFmtId="0" fontId="14" fillId="0" borderId="0" xfId="10" applyFont="1" applyFill="1" applyAlignment="1">
      <alignment vertical="center"/>
    </xf>
    <xf numFmtId="0" fontId="9" fillId="0" borderId="0" xfId="10" applyFont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left" vertical="center"/>
    </xf>
    <xf numFmtId="3" fontId="9" fillId="0" borderId="0" xfId="10" applyNumberFormat="1" applyFont="1" applyBorder="1" applyAlignment="1">
      <alignment vertical="center"/>
    </xf>
    <xf numFmtId="166" fontId="17" fillId="0" borderId="0" xfId="10" applyNumberFormat="1" applyFont="1" applyBorder="1" applyAlignment="1">
      <alignment vertical="center"/>
    </xf>
    <xf numFmtId="3" fontId="9" fillId="0" borderId="0" xfId="10" applyNumberFormat="1" applyFont="1" applyAlignment="1">
      <alignment vertical="center"/>
    </xf>
    <xf numFmtId="3" fontId="9" fillId="0" borderId="0" xfId="10" applyNumberFormat="1" applyFont="1" applyFill="1" applyBorder="1" applyAlignment="1">
      <alignment vertical="center"/>
    </xf>
    <xf numFmtId="166" fontId="17" fillId="0" borderId="0" xfId="10" applyNumberFormat="1" applyFont="1" applyFill="1" applyBorder="1" applyAlignment="1">
      <alignment vertical="center"/>
    </xf>
    <xf numFmtId="0" fontId="10" fillId="0" borderId="0" xfId="10" applyFont="1" applyFill="1" applyAlignment="1">
      <alignment vertical="center"/>
    </xf>
    <xf numFmtId="0" fontId="9" fillId="0" borderId="0" xfId="10" applyFont="1" applyFill="1" applyAlignment="1">
      <alignment vertical="center"/>
    </xf>
    <xf numFmtId="166" fontId="17" fillId="0" borderId="0" xfId="3" applyNumberFormat="1" applyFont="1"/>
    <xf numFmtId="166" fontId="17" fillId="0" borderId="0" xfId="3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8" applyFont="1" applyBorder="1" applyAlignment="1">
      <alignment vertical="center"/>
    </xf>
    <xf numFmtId="165" fontId="10" fillId="0" borderId="0" xfId="8" applyNumberFormat="1" applyFont="1" applyBorder="1" applyAlignment="1">
      <alignment horizontal="right" vertical="center"/>
    </xf>
    <xf numFmtId="166" fontId="9" fillId="0" borderId="4" xfId="3" applyNumberFormat="1" applyFont="1" applyFill="1" applyBorder="1" applyAlignment="1">
      <alignment vertical="center" wrapText="1"/>
    </xf>
    <xf numFmtId="0" fontId="6" fillId="0" borderId="0" xfId="5" applyFont="1" applyAlignment="1">
      <alignment vertical="center"/>
    </xf>
    <xf numFmtId="0" fontId="2" fillId="0" borderId="0" xfId="6" applyAlignment="1">
      <alignment vertical="center"/>
    </xf>
    <xf numFmtId="164" fontId="6" fillId="0" borderId="0" xfId="6" applyNumberFormat="1" applyFont="1" applyAlignment="1">
      <alignment horizontal="right" vertical="center" wrapText="1"/>
    </xf>
    <xf numFmtId="14" fontId="6" fillId="0" borderId="0" xfId="6" applyNumberFormat="1" applyFont="1" applyAlignment="1">
      <alignment horizontal="right" vertical="center" wrapText="1"/>
    </xf>
    <xf numFmtId="0" fontId="2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10" fillId="0" borderId="0" xfId="6" applyFont="1" applyAlignment="1">
      <alignment vertical="center" wrapText="1"/>
    </xf>
    <xf numFmtId="0" fontId="8" fillId="0" borderId="0" xfId="6" applyFont="1" applyAlignment="1">
      <alignment vertical="center" wrapText="1"/>
    </xf>
    <xf numFmtId="0" fontId="9" fillId="0" borderId="0" xfId="6" quotePrefix="1" applyFont="1" applyAlignment="1">
      <alignment vertical="center"/>
    </xf>
    <xf numFmtId="0" fontId="17" fillId="0" borderId="6" xfId="0" applyFont="1" applyFill="1" applyBorder="1" applyAlignment="1">
      <alignment horizontal="left" vertical="center" indent="1"/>
    </xf>
    <xf numFmtId="0" fontId="9" fillId="0" borderId="0" xfId="10" applyFont="1" applyBorder="1" applyAlignment="1">
      <alignment vertical="center"/>
    </xf>
    <xf numFmtId="3" fontId="9" fillId="0" borderId="0" xfId="6" applyNumberFormat="1" applyFont="1" applyFill="1" applyAlignment="1">
      <alignment vertical="center"/>
    </xf>
    <xf numFmtId="166" fontId="17" fillId="0" borderId="0" xfId="3" applyNumberFormat="1" applyFont="1" applyFill="1" applyAlignment="1">
      <alignment vertical="center"/>
    </xf>
    <xf numFmtId="0" fontId="19" fillId="0" borderId="0" xfId="1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</cellXfs>
  <cellStyles count="12">
    <cellStyle name="Lien hypertexte 2" xfId="7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2 2 2" xfId="10" xr:uid="{00000000-0005-0000-0000-000004000000}"/>
    <cellStyle name="Normal 2_TC_A1" xfId="5" xr:uid="{00000000-0005-0000-0000-000005000000}"/>
    <cellStyle name="Normal 3" xfId="8" xr:uid="{00000000-0005-0000-0000-000006000000}"/>
    <cellStyle name="Pourcentage" xfId="3" builtinId="5"/>
    <cellStyle name="Pourcentage 2" xfId="9" xr:uid="{00000000-0005-0000-0000-000008000000}"/>
    <cellStyle name="Titre 1" xfId="2" builtinId="16"/>
    <cellStyle name="Titre 2" xfId="4" builtinId="17"/>
    <cellStyle name="Titre 3" xfId="11" builtinId="18"/>
  </cellStyles>
  <dxfs count="117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fill>
        <patternFill patternType="none">
          <bgColor auto="1"/>
        </patternFill>
      </fill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2" defaultTableStyle="Style TAB" defaultPivotStyle="PivotStyleLight16">
    <tableStyle name="RSC" pivot="0" count="0" xr9:uid="{00000000-0011-0000-FFFF-FFFF00000000}"/>
    <tableStyle name="Style TAB" pivot="0" count="3" xr9:uid="{00000000-0011-0000-FFFF-FFFF01000000}">
      <tableStyleElement type="wholeTable" dxfId="116"/>
      <tableStyleElement type="headerRow" dxfId="115"/>
      <tableStyleElement type="totalRow" dxfId="1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'2.04 Graph 1'!$A$3</c:f>
          <c:strCache>
            <c:ptCount val="1"/>
            <c:pt idx="0">
              <c:v>[1] Évolution de la répartition des élèves selon leur mode d'hébergement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'2.04 Graph 1'!$A$6</c:f>
              <c:strCache>
                <c:ptCount val="1"/>
                <c:pt idx="0">
                  <c:v>Demi-pensionnaires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20943412285588E-2"/>
                  <c:y val="-8.41443868946039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E3-4DEE-8FC4-06FE77FD4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'2.04 Graph 1'!$B$5:$F$5</c:f>
              <c:strCache>
                <c:ptCount val="5"/>
                <c:pt idx="0">
                  <c:v>2016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'2.04 Graph 1'!$B$6:$F$6</c:f>
              <c:numCache>
                <c:formatCode>0.0%</c:formatCode>
                <c:ptCount val="5"/>
                <c:pt idx="0">
                  <c:v>0.50509999999999999</c:v>
                </c:pt>
                <c:pt idx="1">
                  <c:v>0.50700000000000001</c:v>
                </c:pt>
                <c:pt idx="2">
                  <c:v>0.48699999999999999</c:v>
                </c:pt>
                <c:pt idx="3">
                  <c:v>0.49399999999999999</c:v>
                </c:pt>
                <c:pt idx="4">
                  <c:v>0.52838768351305698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3-4D49-8356-E4B553193538}"/>
            </c:ext>
          </c:extLst>
        </c:ser>
        <c:ser>
          <c:idx val="1"/>
          <c:order val="1"/>
          <c:tx>
            <c:strRef>
              <c:f>'2.04 Graph 1'!$A$7</c:f>
              <c:strCache>
                <c:ptCount val="1"/>
                <c:pt idx="0">
                  <c:v>Externes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368962753955777E-2"/>
                  <c:y val="5.27377423829625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4-42AD-A268-ADA786D72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'2.04 Graph 1'!$B$5:$F$5</c:f>
              <c:strCache>
                <c:ptCount val="5"/>
                <c:pt idx="0">
                  <c:v>2016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'2.04 Graph 1'!$B$7:$F$7</c:f>
              <c:numCache>
                <c:formatCode>0.0%</c:formatCode>
                <c:ptCount val="5"/>
                <c:pt idx="0">
                  <c:v>0.4642</c:v>
                </c:pt>
                <c:pt idx="1">
                  <c:v>0.46200000000000002</c:v>
                </c:pt>
                <c:pt idx="2">
                  <c:v>0.48199999999999998</c:v>
                </c:pt>
                <c:pt idx="3">
                  <c:v>0.47599999999999998</c:v>
                </c:pt>
                <c:pt idx="4">
                  <c:v>0.44307305876748515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4-42AD-A268-ADA786D72B43}"/>
            </c:ext>
          </c:extLst>
        </c:ser>
        <c:ser>
          <c:idx val="2"/>
          <c:order val="2"/>
          <c:tx>
            <c:strRef>
              <c:f>'2.04 Graph 1'!$A$8</c:f>
              <c:strCache>
                <c:ptCount val="1"/>
                <c:pt idx="0">
                  <c:v>Internes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4-42AD-A268-ADA786D72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'2.04 Graph 1'!$B$5:$F$5</c:f>
              <c:strCache>
                <c:ptCount val="5"/>
                <c:pt idx="0">
                  <c:v>2016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'2.04 Graph 1'!$B$8:$F$8</c:f>
              <c:numCache>
                <c:formatCode>0.0%</c:formatCode>
                <c:ptCount val="5"/>
                <c:pt idx="0">
                  <c:v>3.1E-2</c:v>
                </c:pt>
                <c:pt idx="1">
                  <c:v>3.1E-2</c:v>
                </c:pt>
                <c:pt idx="2">
                  <c:v>3.1E-2</c:v>
                </c:pt>
                <c:pt idx="3">
                  <c:v>0.03</c:v>
                </c:pt>
                <c:pt idx="4">
                  <c:v>2.8539257719457797E-2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4-42AD-A268-ADA786D72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Répartition par département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'2.04 Tableau 4'!$L$5</c:f>
              <c:strCache>
                <c:ptCount val="1"/>
                <c:pt idx="0">
                  <c:v>Effectifs Demi-pensionnaires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4'!$K$6:$K$7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4'!$L$6:$L$7</c:f>
              <c:numCache>
                <c:formatCode>#,##0</c:formatCode>
                <c:ptCount val="2"/>
                <c:pt idx="0">
                  <c:v>4264</c:v>
                </c:pt>
                <c:pt idx="1">
                  <c:v>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A92-9AAE-92B4DAE41D86}"/>
            </c:ext>
          </c:extLst>
        </c:ser>
        <c:ser>
          <c:idx val="1"/>
          <c:order val="1"/>
          <c:tx>
            <c:strRef>
              <c:f>'2.04 Tableau 4'!$M$5</c:f>
              <c:strCache>
                <c:ptCount val="1"/>
                <c:pt idx="0">
                  <c:v>Effectifs Externes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4'!$K$6:$K$7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4'!$M$6:$M$7</c:f>
              <c:numCache>
                <c:formatCode>#,##0</c:formatCode>
                <c:ptCount val="2"/>
                <c:pt idx="0">
                  <c:v>2155</c:v>
                </c:pt>
                <c:pt idx="1">
                  <c:v>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A-4A92-9AAE-92B4DAE41D86}"/>
            </c:ext>
          </c:extLst>
        </c:ser>
        <c:ser>
          <c:idx val="2"/>
          <c:order val="2"/>
          <c:tx>
            <c:strRef>
              <c:f>'2.04 Tableau 4'!$N$5</c:f>
              <c:strCache>
                <c:ptCount val="1"/>
                <c:pt idx="0">
                  <c:v>Effectifs Internes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1367521367521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A-4A92-9AAE-92B4DAE41D86}"/>
                </c:ext>
              </c:extLst>
            </c:dLbl>
            <c:dLbl>
              <c:idx val="1"/>
              <c:layout>
                <c:manualLayout>
                  <c:x val="2.98504273504273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A-4A92-9AAE-92B4DAE41D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4'!$K$6:$K$7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4'!$N$6:$N$7</c:f>
              <c:numCache>
                <c:formatCode>#,##0</c:formatCode>
                <c:ptCount val="2"/>
                <c:pt idx="0">
                  <c:v>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A-4A92-9AAE-92B4DAE41D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8445664"/>
        <c:axId val="253520"/>
      </c:barChart>
      <c:catAx>
        <c:axId val="12844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53520"/>
        <c:crosses val="autoZero"/>
        <c:auto val="1"/>
        <c:lblAlgn val="ctr"/>
        <c:lblOffset val="100"/>
        <c:noMultiLvlLbl val="0"/>
      </c:catAx>
      <c:valAx>
        <c:axId val="2535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84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="1" i="0" baseline="0">
                <a:effectLst/>
              </a:rPr>
              <a:t>Répartition par secteur</a:t>
            </a:r>
            <a:endParaRPr lang="fr-FR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'2.04 Tableau 4'!$L$18</c:f>
              <c:strCache>
                <c:ptCount val="1"/>
                <c:pt idx="0">
                  <c:v>Effectifs Demi-pensionnaires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fr-FR"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4'!$K$19:$K$20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4'!$L$19:$L$20</c:f>
              <c:numCache>
                <c:formatCode>#,##0</c:formatCode>
                <c:ptCount val="2"/>
                <c:pt idx="0">
                  <c:v>8684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2-4DBF-8FFB-1935C4D58C34}"/>
            </c:ext>
          </c:extLst>
        </c:ser>
        <c:ser>
          <c:idx val="1"/>
          <c:order val="1"/>
          <c:tx>
            <c:strRef>
              <c:f>'2.04 Tableau 4'!$M$18</c:f>
              <c:strCache>
                <c:ptCount val="1"/>
                <c:pt idx="0">
                  <c:v>Effectifs Externes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fr-FR"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4'!$K$19:$K$20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4'!$M$19:$M$20</c:f>
              <c:numCache>
                <c:formatCode>#,##0</c:formatCode>
                <c:ptCount val="2"/>
                <c:pt idx="0">
                  <c:v>4244</c:v>
                </c:pt>
                <c:pt idx="1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2-4DBF-8FFB-1935C4D58C34}"/>
            </c:ext>
          </c:extLst>
        </c:ser>
        <c:ser>
          <c:idx val="2"/>
          <c:order val="2"/>
          <c:tx>
            <c:strRef>
              <c:f>'2.04 Tableau 4'!$N$18</c:f>
              <c:strCache>
                <c:ptCount val="1"/>
                <c:pt idx="0">
                  <c:v>Effectifs Internes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423076923076922E-2"/>
                  <c:y val="-1.293503575854831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02-4DBF-8FFB-1935C4D58C34}"/>
                </c:ext>
              </c:extLst>
            </c:dLbl>
            <c:dLbl>
              <c:idx val="1"/>
              <c:layout>
                <c:manualLayout>
                  <c:x val="1.62820512820512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2-4DBF-8FFB-1935C4D58C34}"/>
                </c:ext>
              </c:extLst>
            </c:dLbl>
            <c:numFmt formatCode="#,##0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fr-F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4'!$K$19:$K$20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4'!$N$19:$N$20</c:f>
              <c:numCache>
                <c:formatCode>#,##0</c:formatCode>
                <c:ptCount val="2"/>
                <c:pt idx="0">
                  <c:v>23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2-4DBF-8FFB-1935C4D58C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0158256"/>
        <c:axId val="255600"/>
      </c:barChart>
      <c:catAx>
        <c:axId val="53015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55600"/>
        <c:crosses val="autoZero"/>
        <c:auto val="1"/>
        <c:lblAlgn val="ctr"/>
        <c:lblOffset val="100"/>
        <c:noMultiLvlLbl val="0"/>
      </c:catAx>
      <c:valAx>
        <c:axId val="2556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015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fr-FR" sz="10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/>
              <a:t>Répartition par département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'2.04 Tableau 5'!$M$8</c:f>
              <c:strCache>
                <c:ptCount val="1"/>
                <c:pt idx="0">
                  <c:v>Effectifs Demi-pensionnaires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5'!$L$9:$L$10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5'!$M$9:$M$10</c:f>
              <c:numCache>
                <c:formatCode>#,##0</c:formatCode>
                <c:ptCount val="2"/>
                <c:pt idx="0">
                  <c:v>1621</c:v>
                </c:pt>
                <c:pt idx="1">
                  <c:v>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A92-9AAE-92B4DAE41D86}"/>
            </c:ext>
          </c:extLst>
        </c:ser>
        <c:ser>
          <c:idx val="1"/>
          <c:order val="1"/>
          <c:tx>
            <c:strRef>
              <c:f>'2.04 Tableau 5'!$N$8</c:f>
              <c:strCache>
                <c:ptCount val="1"/>
                <c:pt idx="0">
                  <c:v>Effectifs Externes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5'!$L$9:$L$10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5'!$N$9:$N$10</c:f>
              <c:numCache>
                <c:formatCode>#,##0</c:formatCode>
                <c:ptCount val="2"/>
                <c:pt idx="0">
                  <c:v>2519</c:v>
                </c:pt>
                <c:pt idx="1">
                  <c:v>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A-4A92-9AAE-92B4DAE41D86}"/>
            </c:ext>
          </c:extLst>
        </c:ser>
        <c:ser>
          <c:idx val="2"/>
          <c:order val="2"/>
          <c:tx>
            <c:strRef>
              <c:f>'2.04 Tableau 5'!$O$8</c:f>
              <c:strCache>
                <c:ptCount val="1"/>
                <c:pt idx="0">
                  <c:v>Effectifs Internes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5'!$L$9:$L$10</c:f>
              <c:strCache>
                <c:ptCount val="2"/>
                <c:pt idx="0">
                  <c:v>Corse du sud</c:v>
                </c:pt>
                <c:pt idx="1">
                  <c:v>Haute Corse</c:v>
                </c:pt>
              </c:strCache>
            </c:strRef>
          </c:cat>
          <c:val>
            <c:numRef>
              <c:f>'2.04 Tableau 5'!$O$9:$O$10</c:f>
              <c:numCache>
                <c:formatCode>#,##0</c:formatCode>
                <c:ptCount val="2"/>
                <c:pt idx="0">
                  <c:v>280</c:v>
                </c:pt>
                <c:pt idx="1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BD-4228-8866-2D42082438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8445664"/>
        <c:axId val="253520"/>
      </c:barChart>
      <c:catAx>
        <c:axId val="12844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53520"/>
        <c:crosses val="autoZero"/>
        <c:auto val="1"/>
        <c:lblAlgn val="ctr"/>
        <c:lblOffset val="100"/>
        <c:noMultiLvlLbl val="0"/>
      </c:catAx>
      <c:valAx>
        <c:axId val="2535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84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/>
              <a:t>Répartition par secteur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'2.04 Tableau 5'!$M$17</c:f>
              <c:strCache>
                <c:ptCount val="1"/>
                <c:pt idx="0">
                  <c:v>Effectifs Demi-pensionnaires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5'!$L$18:$L$19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5'!$M$18:$M$19</c:f>
              <c:numCache>
                <c:formatCode>#,##0</c:formatCode>
                <c:ptCount val="2"/>
                <c:pt idx="0">
                  <c:v>3021</c:v>
                </c:pt>
                <c:pt idx="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A92-9AAE-92B4DAE41D86}"/>
            </c:ext>
          </c:extLst>
        </c:ser>
        <c:ser>
          <c:idx val="1"/>
          <c:order val="1"/>
          <c:tx>
            <c:strRef>
              <c:f>'2.04 Tableau 5'!$N$17</c:f>
              <c:strCache>
                <c:ptCount val="1"/>
                <c:pt idx="0">
                  <c:v>Effectifs Externes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5'!$L$18:$L$19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5'!$N$18:$N$19</c:f>
              <c:numCache>
                <c:formatCode>#,##0</c:formatCode>
                <c:ptCount val="2"/>
                <c:pt idx="0">
                  <c:v>5202</c:v>
                </c:pt>
                <c:pt idx="1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A-4A92-9AAE-92B4DAE41D86}"/>
            </c:ext>
          </c:extLst>
        </c:ser>
        <c:ser>
          <c:idx val="2"/>
          <c:order val="2"/>
          <c:tx>
            <c:strRef>
              <c:f>'2.04 Tableau 5'!$O$17</c:f>
              <c:strCache>
                <c:ptCount val="1"/>
                <c:pt idx="0">
                  <c:v>Effectifs Internes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282051282051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90-4488-8166-EC4799EF8BE5}"/>
                </c:ext>
              </c:extLst>
            </c:dLbl>
            <c:numFmt formatCode="#,##0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'2.04 Tableau 5'!$L$18:$L$19</c:f>
              <c:strCache>
                <c:ptCount val="2"/>
                <c:pt idx="0">
                  <c:v>Public</c:v>
                </c:pt>
                <c:pt idx="1">
                  <c:v>Privé</c:v>
                </c:pt>
              </c:strCache>
            </c:strRef>
          </c:cat>
          <c:val>
            <c:numRef>
              <c:f>'2.04 Tableau 5'!$O$18:$O$19</c:f>
              <c:numCache>
                <c:formatCode>#,##0</c:formatCode>
                <c:ptCount val="2"/>
                <c:pt idx="0">
                  <c:v>636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90-4488-8166-EC4799EF8B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8445664"/>
        <c:axId val="253520"/>
      </c:barChart>
      <c:catAx>
        <c:axId val="12844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53520"/>
        <c:crosses val="autoZero"/>
        <c:auto val="1"/>
        <c:lblAlgn val="ctr"/>
        <c:lblOffset val="100"/>
        <c:noMultiLvlLbl val="0"/>
      </c:catAx>
      <c:valAx>
        <c:axId val="2535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84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190499</xdr:rowOff>
    </xdr:from>
    <xdr:to>
      <xdr:col>17</xdr:col>
      <xdr:colOff>547875</xdr:colOff>
      <xdr:row>13</xdr:row>
      <xdr:rowOff>186374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1AE6A62-B8A8-4B22-9C26-0F5A7DA06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1266823</xdr:colOff>
      <xdr:row>3</xdr:row>
      <xdr:rowOff>14287</xdr:rowOff>
    </xdr:from>
    <xdr:to>
      <xdr:col>14</xdr:col>
      <xdr:colOff>536623</xdr:colOff>
      <xdr:row>12</xdr:row>
      <xdr:rowOff>4537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4ED4AA-CE14-4A36-AF47-4FA14033A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1309687</xdr:colOff>
      <xdr:row>16</xdr:row>
      <xdr:rowOff>14287</xdr:rowOff>
    </xdr:from>
    <xdr:to>
      <xdr:col>14</xdr:col>
      <xdr:colOff>579487</xdr:colOff>
      <xdr:row>25</xdr:row>
      <xdr:rowOff>99787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796E4FA-6E7C-4C06-8DB5-F3D91A148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1164431</xdr:colOff>
      <xdr:row>6</xdr:row>
      <xdr:rowOff>23812</xdr:rowOff>
    </xdr:from>
    <xdr:to>
      <xdr:col>15</xdr:col>
      <xdr:colOff>539006</xdr:colOff>
      <xdr:row>15</xdr:row>
      <xdr:rowOff>61687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31182C9-CC6F-4FB4-9F65-CA2B15EE9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1221581</xdr:colOff>
      <xdr:row>16</xdr:row>
      <xdr:rowOff>90487</xdr:rowOff>
    </xdr:from>
    <xdr:to>
      <xdr:col>15</xdr:col>
      <xdr:colOff>596156</xdr:colOff>
      <xdr:row>26</xdr:row>
      <xdr:rowOff>80737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9E4E0BF-375A-4EB4-AB12-AC0799006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SCTabCourbe_donnees" displayName="RSCTabCourbe_donnees" ref="A5:F8" totalsRowShown="0" headerRowDxfId="113" dataDxfId="111" totalsRowDxfId="110" headerRowBorderDxfId="112">
  <autoFilter ref="A5:F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atégorie" dataDxfId="109" totalsRowDxfId="108"/>
    <tableColumn id="3" xr3:uid="{00000000-0010-0000-0000-000003000000}" name="2016" dataDxfId="107" totalsRowDxfId="106" dataCellStyle="Pourcentage"/>
    <tableColumn id="4" xr3:uid="{00000000-0010-0000-0000-000004000000}" name="2019" dataDxfId="105" totalsRowDxfId="104" dataCellStyle="Pourcentage"/>
    <tableColumn id="5" xr3:uid="{00000000-0010-0000-0000-000005000000}" name="2021" dataDxfId="103" totalsRowDxfId="102" dataCellStyle="Pourcentage"/>
    <tableColumn id="6" xr3:uid="{00000000-0010-0000-0000-000006000000}" name="2022" dataDxfId="101" totalsRowDxfId="100" dataCellStyle="Pourcentage"/>
    <tableColumn id="2" xr3:uid="{00000000-0010-0000-0000-000002000000}" name="2023" dataDxfId="99" totalsRowDxfId="98" dataCellStyle="Pourcentage">
      <calculatedColumnFormula>'2.04 Tableau 2'!L14</calculatedColumnFormula>
    </tableColumn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SCTabX" displayName="RSCTabX" ref="A5:L17" headerRowDxfId="97" dataDxfId="95" totalsRowDxfId="94" headerRowBorderDxfId="96">
  <autoFilter ref="A5:L1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Secteur" totalsRowLabel="Total (1+2)" dataDxfId="93" totalsRowDxfId="92"/>
    <tableColumn id="9" xr3:uid="{00000000-0010-0000-0100-000009000000}" name="Modes d'hébergement" dataDxfId="91" totalsRowDxfId="90"/>
    <tableColumn id="2" xr3:uid="{00000000-0010-0000-0100-000002000000}" name="Effectifs 2016" totalsRowFunction="sum" dataDxfId="89" totalsRowDxfId="88"/>
    <tableColumn id="3" xr3:uid="{00000000-0010-0000-0100-000003000000}" name="% 2016" totalsRowFunction="sum" dataDxfId="87" totalsRowDxfId="86" dataCellStyle="Pourcentage"/>
    <tableColumn id="4" xr3:uid="{00000000-0010-0000-0100-000004000000}" name="Effectifs 2019" totalsRowFunction="sum" dataDxfId="85" totalsRowDxfId="84"/>
    <tableColumn id="5" xr3:uid="{00000000-0010-0000-0100-000005000000}" name="% 2019" totalsRowFunction="sum" dataDxfId="83" totalsRowDxfId="82" dataCellStyle="Pourcentage"/>
    <tableColumn id="6" xr3:uid="{00000000-0010-0000-0100-000006000000}" name="Effectifs 2021" totalsRowFunction="sum" dataDxfId="81" totalsRowDxfId="80"/>
    <tableColumn id="7" xr3:uid="{00000000-0010-0000-0100-000007000000}" name="% 2021" totalsRowFunction="sum" dataDxfId="79" totalsRowDxfId="78" dataCellStyle="Pourcentage"/>
    <tableColumn id="8" xr3:uid="{00000000-0010-0000-0100-000008000000}" name="Effectifs 2022" totalsRowFunction="sum" dataDxfId="77" totalsRowDxfId="76" dataCellStyle="Pourcentage"/>
    <tableColumn id="10" xr3:uid="{00000000-0010-0000-0100-00000A000000}" name="% 2022" dataDxfId="75" totalsRowDxfId="74">
      <calculatedColumnFormula>RSCTabX[[#This Row],[Effectifs 2016]]/$C$17</calculatedColumnFormula>
    </tableColumn>
    <tableColumn id="11" xr3:uid="{00000000-0010-0000-0100-00000B000000}" name="Effectifs 2023" dataDxfId="73" totalsRowDxfId="72"/>
    <tableColumn id="12" xr3:uid="{00000000-0010-0000-0100-00000C000000}" name="% 2023" dataDxfId="71" totalsRowDxfId="70" dataCellStyle="Pourcentage"/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RSCTabX2" displayName="RSCTabX2" ref="A5:H15" headerRowDxfId="69" dataDxfId="67" totalsRowDxfId="66" headerRowBorderDxfId="68">
  <autoFilter ref="A5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Secteur" totalsRowLabel="Total (1+2)" dataDxfId="65" totalsRowDxfId="64"/>
    <tableColumn id="9" xr3:uid="{00000000-0010-0000-0200-000009000000}" name="Modes d'hébergement" dataDxfId="63" totalsRowDxfId="62"/>
    <tableColumn id="3" xr3:uid="{00000000-0010-0000-0200-000003000000}" name="Collège" totalsRowFunction="sum" dataDxfId="61" totalsRowDxfId="60" dataCellStyle="Pourcentage"/>
    <tableColumn id="5" xr3:uid="{00000000-0010-0000-0200-000005000000}" name="EREA" totalsRowFunction="sum" dataDxfId="59" totalsRowDxfId="58" dataCellStyle="Pourcentage"/>
    <tableColumn id="7" xr3:uid="{00000000-0010-0000-0200-000007000000}" name="LP" totalsRowFunction="sum" dataDxfId="57" totalsRowDxfId="56" dataCellStyle="Pourcentage"/>
    <tableColumn id="10" xr3:uid="{00000000-0010-0000-0200-00000A000000}" name="LEGT" dataDxfId="55" totalsRowDxfId="54">
      <calculatedColumnFormula>#REF!/#REF!</calculatedColumnFormula>
    </tableColumn>
    <tableColumn id="12" xr3:uid="{00000000-0010-0000-0200-00000C000000}" name="Total" dataDxfId="53" totalsRowDxfId="52" dataCellStyle="Pourcentage"/>
    <tableColumn id="13" xr3:uid="{00000000-0010-0000-0200-00000D000000}" name="dont post-bac" dataDxfId="51" totalsRowDxfId="50" dataCellStyle="Pourcentage"/>
  </tableColumns>
  <tableStyleInfo name="Style TAB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HebergementClg" displayName="HebergementClg" ref="A5:I37" totalsRowCount="1" headerRowDxfId="46" dataDxfId="45" totalsRowDxfId="44" headerRowCellStyle="Normal 2 2">
  <autoFilter ref="A5:I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A6:D36">
    <sortCondition ref="B5:B36"/>
  </sortState>
  <tableColumns count="9">
    <tableColumn id="9" xr3:uid="{00000000-0010-0000-0300-000009000000}" name="Département" totalsRowLabel="Total" dataDxfId="43" totalsRowDxfId="42" dataCellStyle="Normal 2 2"/>
    <tableColumn id="1" xr3:uid="{00000000-0010-0000-0300-000001000000}" name="RNE" dataDxfId="41" totalsRowDxfId="40" dataCellStyle="Normal 2 2"/>
    <tableColumn id="2" xr3:uid="{00000000-0010-0000-0300-000002000000}" name="Secteur" dataDxfId="39" totalsRowDxfId="38" dataCellStyle="Normal 2 2"/>
    <tableColumn id="3" xr3:uid="{00000000-0010-0000-0300-000003000000}" name="NOM" dataDxfId="37" totalsRowDxfId="36" dataCellStyle="Normal 2 2"/>
    <tableColumn id="4" xr3:uid="{00000000-0010-0000-0300-000004000000}" name="Effectifs Demi-pensionnaires" totalsRowFunction="sum" dataDxfId="35" totalsRowDxfId="34"/>
    <tableColumn id="5" xr3:uid="{00000000-0010-0000-0300-000005000000}" name="Effectifs Externes" totalsRowFunction="sum" dataDxfId="33" totalsRowDxfId="32"/>
    <tableColumn id="6" xr3:uid="{00000000-0010-0000-0300-000006000000}" name="Effectifs Internes" totalsRowFunction="sum" dataDxfId="31" totalsRowDxfId="30"/>
    <tableColumn id="7" xr3:uid="{00000000-0010-0000-0300-000007000000}" name="Total" totalsRowFunction="sum" dataDxfId="29" totalsRowDxfId="28">
      <calculatedColumnFormula>SUM(HebergementClg[[#This Row],[Effectifs Demi-pensionnaires]:[Effectifs Internes]])</calculatedColumnFormula>
    </tableColumn>
    <tableColumn id="8" xr3:uid="{00000000-0010-0000-0300-000008000000}" name="% Demi-pensionnaires" totalsRowFunction="custom" dataDxfId="27" totalsRowDxfId="26">
      <calculatedColumnFormula>HebergementClg[[#This Row],[Effectifs Demi-pensionnaires]]/HebergementClg[[#This Row],[Total]]</calculatedColumnFormula>
      <totalsRowFormula>HebergementClg[[#Totals],[Effectifs Demi-pensionnaires]]/HebergementClg[[#Totals],[Total]]</totalsRowFormula>
    </tableColumn>
  </tableColumns>
  <tableStyleInfo name="Style TAB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HébergementLycée" displayName="HébergementLycée" ref="A8:J25" totalsRowCount="1" headerRowDxfId="21" dataDxfId="20" headerRowCellStyle="Normal 2 2" dataCellStyle="Normal 2 2">
  <autoFilter ref="A8:J2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A9:E24">
    <sortCondition ref="B8:B24"/>
  </sortState>
  <tableColumns count="10">
    <tableColumn id="1" xr3:uid="{00000000-0010-0000-0400-000001000000}" name="Département" totalsRowLabel="Total" dataDxfId="19" totalsRowDxfId="18" dataCellStyle="Normal 2 2"/>
    <tableColumn id="2" xr3:uid="{00000000-0010-0000-0400-000002000000}" name="RNE" dataDxfId="17" totalsRowDxfId="16" dataCellStyle="Normal 2 2"/>
    <tableColumn id="3" xr3:uid="{00000000-0010-0000-0400-000003000000}" name="Secteur" dataDxfId="15" totalsRowDxfId="14" dataCellStyle="Normal 2 2"/>
    <tableColumn id="13" xr3:uid="{00000000-0010-0000-0400-00000D000000}" name="Type" dataDxfId="13" totalsRowDxfId="12" dataCellStyle="Normal 2 2"/>
    <tableColumn id="4" xr3:uid="{00000000-0010-0000-0400-000004000000}" name="NOM" dataDxfId="11" totalsRowDxfId="10" dataCellStyle="Normal 2 2"/>
    <tableColumn id="5" xr3:uid="{00000000-0010-0000-0400-000005000000}" name="Effectifs Demi-pensionnaires" totalsRowFunction="sum" dataDxfId="9" totalsRowDxfId="8" dataCellStyle="Normal 2 2"/>
    <tableColumn id="6" xr3:uid="{00000000-0010-0000-0400-000006000000}" name="Effectifs Externes" totalsRowFunction="sum" dataDxfId="7" totalsRowDxfId="6" dataCellStyle="Normal 2 2"/>
    <tableColumn id="7" xr3:uid="{00000000-0010-0000-0400-000007000000}" name="Effectifs Internes" totalsRowFunction="sum" dataDxfId="5" totalsRowDxfId="4" dataCellStyle="Normal 2 2"/>
    <tableColumn id="8" xr3:uid="{00000000-0010-0000-0400-000008000000}" name="Total" totalsRowFunction="sum" dataDxfId="3" totalsRowDxfId="2" dataCellStyle="Normal 2 2">
      <calculatedColumnFormula>SUM(HébergementLycée[[#This Row],[Effectifs Demi-pensionnaires]:[Effectifs Internes]])</calculatedColumnFormula>
    </tableColumn>
    <tableColumn id="9" xr3:uid="{00000000-0010-0000-0400-000009000000}" name="% Demi-pensionnaires" totalsRowFunction="custom" dataDxfId="1" totalsRowDxfId="0" dataCellStyle="Pourcentage">
      <calculatedColumnFormula>HébergementLycée[[#This Row],[Effectifs Demi-pensionnaires]]/HébergementLycée[[#This Row],[Total]]</calculatedColumnFormula>
      <totalsRowFormula>HébergementLycée[[#Totals],[Effectifs Demi-pensionnaires]]/HébergementLycée[[#Totals],[Total]]</totalsRowFormula>
    </tableColumn>
  </tableColumns>
  <tableStyleInfo name="Style TAB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6"/>
  <sheetViews>
    <sheetView showGridLines="0" tabSelected="1" zoomScaleNormal="100" zoomScaleSheetLayoutView="110" workbookViewId="0">
      <selection activeCell="C16" sqref="C16"/>
    </sheetView>
  </sheetViews>
  <sheetFormatPr baseColWidth="10" defaultRowHeight="12.75" x14ac:dyDescent="0.2"/>
  <cols>
    <col min="1" max="1" width="91.28515625" style="97" customWidth="1"/>
    <col min="2" max="16384" width="11.42578125" style="97"/>
  </cols>
  <sheetData>
    <row r="1" spans="1:1" x14ac:dyDescent="0.2">
      <c r="A1" s="96" t="s">
        <v>21</v>
      </c>
    </row>
    <row r="2" spans="1:1" x14ac:dyDescent="0.2">
      <c r="A2" s="98" t="s">
        <v>18</v>
      </c>
    </row>
    <row r="3" spans="1:1" x14ac:dyDescent="0.2">
      <c r="A3" s="99">
        <v>45218</v>
      </c>
    </row>
    <row r="4" spans="1:1" ht="20.25" thickBot="1" x14ac:dyDescent="0.25">
      <c r="A4" s="76" t="s">
        <v>2</v>
      </c>
    </row>
    <row r="5" spans="1:1" ht="13.5" thickTop="1" x14ac:dyDescent="0.2"/>
    <row r="6" spans="1:1" ht="25.5" x14ac:dyDescent="0.2">
      <c r="A6" s="1" t="s">
        <v>3</v>
      </c>
    </row>
    <row r="7" spans="1:1" x14ac:dyDescent="0.2">
      <c r="A7" s="2" t="s">
        <v>1</v>
      </c>
    </row>
    <row r="9" spans="1:1" s="100" customFormat="1" ht="17.25" thickBot="1" x14ac:dyDescent="0.25">
      <c r="A9" s="19" t="s">
        <v>23</v>
      </c>
    </row>
    <row r="10" spans="1:1" s="100" customFormat="1" ht="13.5" thickTop="1" x14ac:dyDescent="0.2">
      <c r="A10" s="101"/>
    </row>
    <row r="11" spans="1:1" s="100" customFormat="1" x14ac:dyDescent="0.2">
      <c r="A11" s="101"/>
    </row>
    <row r="12" spans="1:1" s="100" customFormat="1" x14ac:dyDescent="0.2">
      <c r="A12" s="101"/>
    </row>
    <row r="13" spans="1:1" s="100" customFormat="1" x14ac:dyDescent="0.2"/>
    <row r="14" spans="1:1" s="100" customFormat="1" ht="15" customHeight="1" x14ac:dyDescent="0.2">
      <c r="A14" s="15" t="s">
        <v>4</v>
      </c>
    </row>
    <row r="15" spans="1:1" s="102" customFormat="1" ht="15" customHeight="1" x14ac:dyDescent="0.2">
      <c r="A15" s="22" t="s">
        <v>24</v>
      </c>
    </row>
    <row r="16" spans="1:1" s="102" customFormat="1" ht="15" customHeight="1" x14ac:dyDescent="0.2">
      <c r="A16" s="22" t="s">
        <v>25</v>
      </c>
    </row>
    <row r="17" spans="1:1" s="102" customFormat="1" ht="22.5" x14ac:dyDescent="0.2">
      <c r="A17" s="103" t="s">
        <v>26</v>
      </c>
    </row>
    <row r="18" spans="1:1" s="100" customFormat="1" x14ac:dyDescent="0.2">
      <c r="A18" s="103" t="s">
        <v>159</v>
      </c>
    </row>
    <row r="19" spans="1:1" s="100" customFormat="1" x14ac:dyDescent="0.2">
      <c r="A19" s="103" t="s">
        <v>160</v>
      </c>
    </row>
    <row r="20" spans="1:1" s="100" customFormat="1" x14ac:dyDescent="0.2">
      <c r="A20" s="104"/>
    </row>
    <row r="21" spans="1:1" s="100" customFormat="1" x14ac:dyDescent="0.2">
      <c r="A21" s="104"/>
    </row>
    <row r="22" spans="1:1" s="100" customFormat="1" x14ac:dyDescent="0.2">
      <c r="A22" s="104"/>
    </row>
    <row r="23" spans="1:1" s="100" customFormat="1" ht="35.1" customHeight="1" x14ac:dyDescent="0.2">
      <c r="A23" s="16" t="s">
        <v>5</v>
      </c>
    </row>
    <row r="24" spans="1:1" s="100" customFormat="1" ht="33.75" x14ac:dyDescent="0.2">
      <c r="A24" s="38" t="s">
        <v>27</v>
      </c>
    </row>
    <row r="25" spans="1:1" s="100" customFormat="1" x14ac:dyDescent="0.2">
      <c r="A25" s="23"/>
    </row>
    <row r="26" spans="1:1" s="100" customFormat="1" ht="35.1" customHeight="1" x14ac:dyDescent="0.2">
      <c r="A26" s="17" t="s">
        <v>0</v>
      </c>
    </row>
    <row r="27" spans="1:1" s="100" customFormat="1" x14ac:dyDescent="0.2">
      <c r="A27" s="18" t="s">
        <v>19</v>
      </c>
    </row>
    <row r="28" spans="1:1" s="100" customFormat="1" x14ac:dyDescent="0.2"/>
    <row r="29" spans="1:1" s="100" customFormat="1" ht="22.5" x14ac:dyDescent="0.2">
      <c r="A29" s="18" t="s">
        <v>6</v>
      </c>
    </row>
    <row r="30" spans="1:1" s="100" customFormat="1" x14ac:dyDescent="0.2">
      <c r="A30" s="102"/>
    </row>
    <row r="31" spans="1:1" s="100" customFormat="1" x14ac:dyDescent="0.2">
      <c r="A31" s="16" t="s">
        <v>7</v>
      </c>
    </row>
    <row r="32" spans="1:1" s="100" customFormat="1" x14ac:dyDescent="0.2">
      <c r="A32" s="102"/>
    </row>
    <row r="33" spans="1:1" s="100" customFormat="1" x14ac:dyDescent="0.2">
      <c r="A33" s="102" t="s">
        <v>8</v>
      </c>
    </row>
    <row r="34" spans="1:1" s="100" customFormat="1" x14ac:dyDescent="0.2">
      <c r="A34" s="105" t="s">
        <v>15</v>
      </c>
    </row>
    <row r="35" spans="1:1" s="100" customFormat="1" x14ac:dyDescent="0.2">
      <c r="A35" s="102" t="s">
        <v>9</v>
      </c>
    </row>
    <row r="36" spans="1:1" s="100" customFormat="1" x14ac:dyDescent="0.2">
      <c r="A36" s="102" t="s">
        <v>10</v>
      </c>
    </row>
    <row r="37" spans="1:1" s="100" customFormat="1" x14ac:dyDescent="0.2"/>
    <row r="38" spans="1:1" s="100" customFormat="1" x14ac:dyDescent="0.2"/>
    <row r="39" spans="1:1" s="100" customFormat="1" x14ac:dyDescent="0.2"/>
    <row r="40" spans="1:1" s="100" customFormat="1" x14ac:dyDescent="0.2"/>
    <row r="41" spans="1:1" s="100" customFormat="1" x14ac:dyDescent="0.2"/>
    <row r="42" spans="1:1" s="100" customFormat="1" x14ac:dyDescent="0.2"/>
    <row r="43" spans="1:1" s="100" customFormat="1" x14ac:dyDescent="0.2"/>
    <row r="44" spans="1:1" s="100" customFormat="1" x14ac:dyDescent="0.2"/>
    <row r="45" spans="1:1" s="100" customFormat="1" x14ac:dyDescent="0.2"/>
    <row r="46" spans="1:1" s="100" customFormat="1" x14ac:dyDescent="0.2"/>
    <row r="47" spans="1:1" s="100" customFormat="1" x14ac:dyDescent="0.2"/>
    <row r="48" spans="1:1" s="100" customFormat="1" x14ac:dyDescent="0.2"/>
    <row r="49" s="100" customFormat="1" x14ac:dyDescent="0.2"/>
    <row r="50" s="100" customFormat="1" x14ac:dyDescent="0.2"/>
    <row r="51" s="100" customFormat="1" x14ac:dyDescent="0.2"/>
    <row r="52" s="100" customFormat="1" x14ac:dyDescent="0.2"/>
    <row r="53" s="100" customFormat="1" x14ac:dyDescent="0.2"/>
    <row r="54" s="100" customFormat="1" x14ac:dyDescent="0.2"/>
    <row r="55" s="100" customFormat="1" x14ac:dyDescent="0.2"/>
    <row r="56" s="100" customFormat="1" x14ac:dyDescent="0.2"/>
    <row r="57" s="100" customFormat="1" x14ac:dyDescent="0.2"/>
    <row r="58" s="100" customFormat="1" x14ac:dyDescent="0.2"/>
    <row r="59" s="100" customFormat="1" x14ac:dyDescent="0.2"/>
    <row r="60" s="100" customFormat="1" x14ac:dyDescent="0.2"/>
    <row r="61" s="100" customFormat="1" x14ac:dyDescent="0.2"/>
    <row r="62" s="100" customFormat="1" x14ac:dyDescent="0.2"/>
    <row r="63" s="100" customFormat="1" x14ac:dyDescent="0.2"/>
    <row r="64" s="100" customFormat="1" x14ac:dyDescent="0.2"/>
    <row r="65" s="100" customFormat="1" x14ac:dyDescent="0.2"/>
    <row r="66" s="100" customFormat="1" x14ac:dyDescent="0.2"/>
    <row r="67" s="100" customFormat="1" x14ac:dyDescent="0.2"/>
    <row r="68" s="100" customFormat="1" x14ac:dyDescent="0.2"/>
    <row r="69" s="100" customFormat="1" x14ac:dyDescent="0.2"/>
    <row r="70" s="100" customFormat="1" x14ac:dyDescent="0.2"/>
    <row r="71" s="100" customFormat="1" x14ac:dyDescent="0.2"/>
    <row r="72" s="100" customFormat="1" x14ac:dyDescent="0.2"/>
    <row r="73" s="100" customFormat="1" x14ac:dyDescent="0.2"/>
    <row r="74" s="100" customFormat="1" x14ac:dyDescent="0.2"/>
    <row r="75" s="100" customFormat="1" x14ac:dyDescent="0.2"/>
    <row r="76" s="100" customFormat="1" x14ac:dyDescent="0.2"/>
    <row r="77" s="100" customFormat="1" x14ac:dyDescent="0.2"/>
    <row r="78" s="100" customFormat="1" x14ac:dyDescent="0.2"/>
    <row r="79" s="100" customFormat="1" x14ac:dyDescent="0.2"/>
    <row r="80" s="100" customFormat="1" x14ac:dyDescent="0.2"/>
    <row r="81" spans="1:1" s="100" customFormat="1" x14ac:dyDescent="0.2"/>
    <row r="82" spans="1:1" s="100" customFormat="1" x14ac:dyDescent="0.2"/>
    <row r="83" spans="1:1" s="100" customFormat="1" x14ac:dyDescent="0.2"/>
    <row r="84" spans="1:1" s="100" customFormat="1" x14ac:dyDescent="0.2"/>
    <row r="85" spans="1:1" x14ac:dyDescent="0.2">
      <c r="A85" s="100"/>
    </row>
    <row r="86" spans="1:1" x14ac:dyDescent="0.2">
      <c r="A86" s="100"/>
    </row>
    <row r="87" spans="1:1" x14ac:dyDescent="0.2">
      <c r="A87" s="100"/>
    </row>
    <row r="88" spans="1:1" x14ac:dyDescent="0.2">
      <c r="A88" s="100"/>
    </row>
    <row r="89" spans="1:1" x14ac:dyDescent="0.2">
      <c r="A89" s="100"/>
    </row>
    <row r="90" spans="1:1" x14ac:dyDescent="0.2">
      <c r="A90" s="100"/>
    </row>
    <row r="91" spans="1:1" x14ac:dyDescent="0.2">
      <c r="A91" s="100"/>
    </row>
    <row r="92" spans="1:1" x14ac:dyDescent="0.2">
      <c r="A92" s="100"/>
    </row>
    <row r="93" spans="1:1" x14ac:dyDescent="0.2">
      <c r="A93" s="100"/>
    </row>
    <row r="94" spans="1:1" x14ac:dyDescent="0.2">
      <c r="A94" s="100"/>
    </row>
    <row r="95" spans="1:1" x14ac:dyDescent="0.2">
      <c r="A95" s="100"/>
    </row>
    <row r="96" spans="1:1" x14ac:dyDescent="0.2">
      <c r="A96" s="100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4"/>
  <sheetViews>
    <sheetView showGridLines="0" zoomScaleNormal="100" zoomScaleSheetLayoutView="100" workbookViewId="0"/>
  </sheetViews>
  <sheetFormatPr baseColWidth="10" defaultRowHeight="0" customHeight="1" zeroHeight="1" x14ac:dyDescent="0.2"/>
  <cols>
    <col min="1" max="1" width="43.7109375" style="93" customWidth="1"/>
    <col min="2" max="5" width="10.7109375" style="25" customWidth="1"/>
    <col min="6" max="6" width="10.7109375" style="21" customWidth="1"/>
    <col min="7" max="7" width="2" style="21" customWidth="1"/>
    <col min="8" max="9" width="10.7109375" style="21" customWidth="1"/>
    <col min="10" max="16384" width="11.42578125" style="21"/>
  </cols>
  <sheetData>
    <row r="1" spans="1:9" ht="17.25" thickBot="1" x14ac:dyDescent="0.25">
      <c r="A1" s="20" t="str">
        <f>'2.04 Notice'!A9</f>
        <v>2.04 L’hébergement des élèves dans les établissements du second degré</v>
      </c>
      <c r="B1" s="44"/>
      <c r="C1" s="44"/>
      <c r="D1" s="44"/>
      <c r="E1" s="44"/>
    </row>
    <row r="2" spans="1:9" ht="13.5" thickTop="1" x14ac:dyDescent="0.2"/>
    <row r="3" spans="1:9" ht="15" customHeight="1" x14ac:dyDescent="0.2">
      <c r="A3" s="110" t="str">
        <f>'2.04 Notice'!A15</f>
        <v>[1] Évolution de la répartition des élèves selon leur mode d'hébergement</v>
      </c>
    </row>
    <row r="4" spans="1:9" ht="15" customHeight="1" x14ac:dyDescent="0.2"/>
    <row r="5" spans="1:9" ht="15" customHeight="1" x14ac:dyDescent="0.2">
      <c r="A5" s="3" t="s">
        <v>11</v>
      </c>
      <c r="B5" s="39" t="s">
        <v>33</v>
      </c>
      <c r="C5" s="39" t="s">
        <v>12</v>
      </c>
      <c r="D5" s="39" t="s">
        <v>16</v>
      </c>
      <c r="E5" s="39" t="s">
        <v>17</v>
      </c>
      <c r="F5" s="40" t="s">
        <v>22</v>
      </c>
    </row>
    <row r="6" spans="1:9" ht="15" customHeight="1" x14ac:dyDescent="0.2">
      <c r="A6" s="11" t="s">
        <v>30</v>
      </c>
      <c r="B6" s="13">
        <v>0.50509999999999999</v>
      </c>
      <c r="C6" s="13">
        <v>0.50700000000000001</v>
      </c>
      <c r="D6" s="13">
        <v>0.48699999999999999</v>
      </c>
      <c r="E6" s="13">
        <v>0.49399999999999999</v>
      </c>
      <c r="F6" s="13">
        <f>'2.04 Tableau 2'!L14</f>
        <v>0.52838768351305698</v>
      </c>
      <c r="H6" s="21">
        <f>RSCTabCourbe_donnees[[#This Row],[2023]]</f>
        <v>0.52838768351305698</v>
      </c>
    </row>
    <row r="7" spans="1:9" ht="15" customHeight="1" x14ac:dyDescent="0.2">
      <c r="A7" s="11" t="s">
        <v>31</v>
      </c>
      <c r="B7" s="95">
        <v>0.4642</v>
      </c>
      <c r="C7" s="95">
        <v>0.46200000000000002</v>
      </c>
      <c r="D7" s="95">
        <v>0.48199999999999998</v>
      </c>
      <c r="E7" s="95">
        <v>0.47599999999999998</v>
      </c>
      <c r="F7" s="13">
        <f>'2.04 Tableau 2'!L15</f>
        <v>0.44307305876748515</v>
      </c>
      <c r="H7" s="21">
        <f>RSCTabCourbe_donnees[[#This Row],[2023]]</f>
        <v>0.44307305876748515</v>
      </c>
    </row>
    <row r="8" spans="1:9" ht="15" customHeight="1" x14ac:dyDescent="0.2">
      <c r="A8" s="11" t="s">
        <v>32</v>
      </c>
      <c r="B8" s="13">
        <v>3.1E-2</v>
      </c>
      <c r="C8" s="13">
        <v>3.1E-2</v>
      </c>
      <c r="D8" s="13">
        <v>3.1E-2</v>
      </c>
      <c r="E8" s="13">
        <v>0.03</v>
      </c>
      <c r="F8" s="13">
        <f>'2.04 Tableau 2'!L16</f>
        <v>2.8539257719457797E-2</v>
      </c>
      <c r="H8" s="21">
        <f>RSCTabCourbe_donnees[[#This Row],[2023]]</f>
        <v>2.8539257719457797E-2</v>
      </c>
    </row>
    <row r="9" spans="1:9" ht="15" customHeight="1" x14ac:dyDescent="0.2">
      <c r="A9" s="10"/>
      <c r="B9" s="10"/>
      <c r="C9" s="7"/>
      <c r="D9" s="7"/>
      <c r="E9" s="7"/>
      <c r="F9" s="7"/>
      <c r="G9" s="7"/>
    </row>
    <row r="10" spans="1:9" ht="15" customHeight="1" x14ac:dyDescent="0.2">
      <c r="A10" s="26" t="s">
        <v>163</v>
      </c>
      <c r="B10" s="10"/>
      <c r="C10" s="12"/>
      <c r="D10" s="12"/>
      <c r="E10" s="12"/>
      <c r="F10" s="12"/>
      <c r="G10" s="12"/>
    </row>
    <row r="11" spans="1:9" ht="15" customHeight="1" x14ac:dyDescent="0.2">
      <c r="A11" s="24"/>
      <c r="B11" s="29"/>
      <c r="C11" s="30"/>
      <c r="D11" s="30"/>
      <c r="E11" s="30"/>
      <c r="F11" s="31"/>
      <c r="G11" s="31"/>
    </row>
    <row r="12" spans="1:9" ht="15" customHeight="1" x14ac:dyDescent="0.2">
      <c r="A12" s="35" t="s">
        <v>29</v>
      </c>
    </row>
    <row r="13" spans="1:9" ht="15" customHeight="1" x14ac:dyDescent="0.2">
      <c r="A13" s="21"/>
      <c r="B13" s="32"/>
      <c r="C13" s="33"/>
      <c r="D13" s="32"/>
      <c r="E13" s="27"/>
      <c r="F13" s="28"/>
      <c r="G13" s="28"/>
    </row>
    <row r="14" spans="1:9" s="5" customFormat="1" ht="15" customHeight="1" x14ac:dyDescent="0.2">
      <c r="B14" s="34"/>
      <c r="C14" s="34"/>
      <c r="D14" s="34"/>
      <c r="E14" s="25"/>
      <c r="F14" s="21"/>
      <c r="G14" s="21"/>
      <c r="H14" s="21"/>
      <c r="I14" s="21"/>
    </row>
    <row r="15" spans="1:9" ht="15" customHeight="1" x14ac:dyDescent="0.2">
      <c r="A15" s="21"/>
    </row>
    <row r="16" spans="1:9" s="28" customFormat="1" ht="15" customHeight="1" x14ac:dyDescent="0.2">
      <c r="A16" s="36"/>
      <c r="B16" s="25"/>
      <c r="C16" s="25"/>
      <c r="D16" s="25"/>
      <c r="E16" s="25"/>
      <c r="F16" s="21"/>
      <c r="G16" s="21"/>
    </row>
    <row r="17" spans="1:9" ht="15" customHeight="1" x14ac:dyDescent="0.2">
      <c r="A17" s="35"/>
    </row>
    <row r="18" spans="1:9" ht="15" customHeight="1" x14ac:dyDescent="0.2"/>
    <row r="19" spans="1:9" ht="15" customHeight="1" x14ac:dyDescent="0.2"/>
    <row r="20" spans="1:9" ht="15" customHeight="1" x14ac:dyDescent="0.2"/>
    <row r="21" spans="1:9" s="5" customFormat="1" ht="15" customHeight="1" x14ac:dyDescent="0.2">
      <c r="A21" s="93"/>
      <c r="B21" s="25"/>
      <c r="C21" s="25"/>
      <c r="D21" s="25"/>
      <c r="E21" s="25"/>
      <c r="F21" s="21"/>
      <c r="G21" s="21"/>
      <c r="H21" s="21"/>
      <c r="I21" s="21"/>
    </row>
    <row r="22" spans="1:9" ht="15" customHeight="1" x14ac:dyDescent="0.2"/>
    <row r="23" spans="1:9" ht="15" customHeight="1" x14ac:dyDescent="0.2"/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s="5" customFormat="1" ht="15" customHeight="1" x14ac:dyDescent="0.2">
      <c r="A29" s="93"/>
      <c r="B29" s="25"/>
      <c r="C29" s="25"/>
      <c r="D29" s="25"/>
      <c r="E29" s="25"/>
      <c r="F29" s="21"/>
      <c r="G29" s="21"/>
      <c r="H29" s="21"/>
      <c r="I29" s="21"/>
    </row>
    <row r="30" spans="1:9" ht="15" customHeight="1" x14ac:dyDescent="0.2"/>
    <row r="31" spans="1:9" ht="15" customHeight="1" x14ac:dyDescent="0.2"/>
    <row r="32" spans="1:9" ht="15" customHeight="1" x14ac:dyDescent="0.2"/>
    <row r="33" spans="1:9" ht="15" customHeight="1" x14ac:dyDescent="0.2"/>
    <row r="34" spans="1:9" ht="15" customHeight="1" x14ac:dyDescent="0.2"/>
    <row r="35" spans="1:9" ht="15" customHeight="1" x14ac:dyDescent="0.2"/>
    <row r="36" spans="1:9" ht="15" customHeight="1" x14ac:dyDescent="0.2"/>
    <row r="37" spans="1:9" ht="15" customHeight="1" x14ac:dyDescent="0.2"/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s="5" customFormat="1" ht="15" customHeight="1" x14ac:dyDescent="0.2">
      <c r="A45" s="93"/>
      <c r="B45" s="25"/>
      <c r="C45" s="25"/>
      <c r="D45" s="25"/>
      <c r="E45" s="25"/>
      <c r="F45" s="21"/>
      <c r="G45" s="21"/>
      <c r="H45" s="21"/>
      <c r="I45" s="21"/>
    </row>
    <row r="46" spans="1:9" ht="15" customHeight="1" x14ac:dyDescent="0.2"/>
    <row r="47" spans="1:9" ht="15" customHeight="1" x14ac:dyDescent="0.2"/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hidden="1" customHeight="1" x14ac:dyDescent="0.2"/>
    <row r="313" ht="0" hidden="1" customHeight="1" x14ac:dyDescent="0.2"/>
    <row r="314" ht="0" hidden="1" customHeight="1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80A0A9-E2ED-462D-8B41-BAC29829F40F}">
            <x14:iconSet iconSet="3Triangles">
              <x14:cfvo type="percent">
                <xm:f>0</xm:f>
              </x14:cfvo>
              <x14:cfvo type="percent">
                <xm:f>$E$6</xm:f>
              </x14:cfvo>
              <x14:cfvo type="percent">
                <xm:f>$E$6</xm:f>
              </x14:cfvo>
            </x14:iconSet>
          </x14:cfRule>
          <xm:sqref>G6</xm:sqref>
        </x14:conditionalFormatting>
        <x14:conditionalFormatting xmlns:xm="http://schemas.microsoft.com/office/excel/2006/main">
          <x14:cfRule type="iconSet" priority="3" id="{38A587BA-BA79-43E2-A314-E30A0039D183}">
            <x14:iconSet iconSet="3Triangles" showValue="0">
              <x14:cfvo type="percent">
                <xm:f>0</xm:f>
              </x14:cfvo>
              <x14:cfvo type="num">
                <xm:f>$E$6</xm:f>
              </x14:cfvo>
              <x14:cfvo type="num">
                <xm:f>$E$6</xm:f>
              </x14:cfvo>
            </x14:iconSet>
          </x14:cfRule>
          <xm:sqref>H6</xm:sqref>
        </x14:conditionalFormatting>
        <x14:conditionalFormatting xmlns:xm="http://schemas.microsoft.com/office/excel/2006/main">
          <x14:cfRule type="iconSet" priority="2" id="{E47A59DE-82E1-4E3C-B4FA-DA2874DE1726}">
            <x14:iconSet iconSet="3Triangles" showValue="0">
              <x14:cfvo type="percent">
                <xm:f>0</xm:f>
              </x14:cfvo>
              <x14:cfvo type="num">
                <xm:f>$E$7</xm:f>
              </x14:cfvo>
              <x14:cfvo type="num">
                <xm:f>$E$7</xm:f>
              </x14:cfvo>
            </x14:iconSet>
          </x14:cfRule>
          <xm:sqref>H7</xm:sqref>
        </x14:conditionalFormatting>
        <x14:conditionalFormatting xmlns:xm="http://schemas.microsoft.com/office/excel/2006/main">
          <x14:cfRule type="iconSet" priority="1" id="{FAE47654-9ED2-4427-89DD-60E95BEA20FE}">
            <x14:iconSet iconSet="3Triangles" showValue="0">
              <x14:cfvo type="percent">
                <xm:f>0</xm:f>
              </x14:cfvo>
              <x14:cfvo type="num">
                <xm:f>$E$8</xm:f>
              </x14:cfvo>
              <x14:cfvo type="num">
                <xm:f>$E$8</xm:f>
              </x14:cfvo>
            </x14:iconSet>
          </x14:cfRule>
          <xm:sqref>H8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3"/>
  <sheetViews>
    <sheetView showGridLines="0" zoomScaleNormal="100" zoomScaleSheetLayoutView="100" workbookViewId="0">
      <selection activeCell="L27" sqref="L27"/>
    </sheetView>
  </sheetViews>
  <sheetFormatPr baseColWidth="10" defaultRowHeight="12.75" zeroHeight="1" x14ac:dyDescent="0.2"/>
  <cols>
    <col min="1" max="1" width="21.28515625" style="45" customWidth="1"/>
    <col min="2" max="2" width="14.5703125" style="46" bestFit="1" customWidth="1"/>
    <col min="3" max="5" width="10.7109375" style="46" customWidth="1"/>
    <col min="6" max="12" width="10.7109375" style="4" customWidth="1"/>
    <col min="13" max="16384" width="11.42578125" style="4"/>
  </cols>
  <sheetData>
    <row r="1" spans="1:12" ht="17.25" thickBot="1" x14ac:dyDescent="0.25">
      <c r="A1" s="20" t="str">
        <f>'2.04 Notice'!A9</f>
        <v>2.04 L’hébergement des élèves dans les établissements du second degré</v>
      </c>
      <c r="B1" s="44"/>
      <c r="C1" s="44"/>
      <c r="D1" s="44"/>
      <c r="E1" s="44"/>
    </row>
    <row r="2" spans="1:12" ht="13.5" thickTop="1" x14ac:dyDescent="0.2"/>
    <row r="3" spans="1:12" s="5" customFormat="1" ht="15.75" customHeight="1" x14ac:dyDescent="0.2">
      <c r="A3" s="110" t="str">
        <f>'2.04 Notice'!A16</f>
        <v>[2] Évolution des modes d'hébergement des élèves du second degré</v>
      </c>
      <c r="K3" s="4"/>
    </row>
    <row r="4" spans="1:12" x14ac:dyDescent="0.2"/>
    <row r="5" spans="1:12" ht="22.5" x14ac:dyDescent="0.2">
      <c r="A5" s="3" t="s">
        <v>34</v>
      </c>
      <c r="B5" s="3" t="s">
        <v>35</v>
      </c>
      <c r="C5" s="3" t="s">
        <v>40</v>
      </c>
      <c r="D5" s="42" t="s">
        <v>41</v>
      </c>
      <c r="E5" s="3" t="s">
        <v>42</v>
      </c>
      <c r="F5" s="43" t="s">
        <v>43</v>
      </c>
      <c r="G5" s="3" t="s">
        <v>44</v>
      </c>
      <c r="H5" s="43" t="s">
        <v>45</v>
      </c>
      <c r="I5" s="3" t="s">
        <v>46</v>
      </c>
      <c r="J5" s="43" t="s">
        <v>47</v>
      </c>
      <c r="K5" s="3" t="s">
        <v>48</v>
      </c>
      <c r="L5" s="43" t="s">
        <v>49</v>
      </c>
    </row>
    <row r="6" spans="1:12" ht="15" customHeight="1" x14ac:dyDescent="0.2">
      <c r="A6" s="11" t="s">
        <v>36</v>
      </c>
      <c r="B6" s="11" t="s">
        <v>30</v>
      </c>
      <c r="C6" s="9">
        <v>10723</v>
      </c>
      <c r="D6" s="13">
        <f>RSCTabX[[#This Row],[Effectifs 2016]]/$C$9</f>
        <v>0.51632318952234202</v>
      </c>
      <c r="E6" s="9">
        <v>11104</v>
      </c>
      <c r="F6" s="13">
        <f>RSCTabX[[#This Row],[Effectifs 2019]]/$E$9</f>
        <v>0.52618111169028103</v>
      </c>
      <c r="G6" s="9">
        <v>10955</v>
      </c>
      <c r="H6" s="13">
        <f>RSCTabX[[#This Row],[Effectifs 2021]]/$G$9</f>
        <v>0.51150954848951768</v>
      </c>
      <c r="I6" s="9">
        <v>11240</v>
      </c>
      <c r="J6" s="13">
        <f>RSCTabX[[#This Row],[Effectifs 2022]]/$I$9</f>
        <v>0.51904871854075274</v>
      </c>
      <c r="K6" s="9">
        <f>SUMIF(HebergementClg[Secteur],"Public",HebergementClg[Effectifs Demi-pensionnaires])+SUMIF(HébergementLycée[Secteur],"Public",HébergementLycée[Effectifs Demi-pensionnaires])</f>
        <v>11705</v>
      </c>
      <c r="L6" s="13">
        <f>RSCTabX[[#This Row],[Effectifs 2023]]/$K$9</f>
        <v>0.53668042182485098</v>
      </c>
    </row>
    <row r="7" spans="1:12" ht="15" customHeight="1" x14ac:dyDescent="0.2">
      <c r="A7" s="11" t="s">
        <v>36</v>
      </c>
      <c r="B7" s="11" t="s">
        <v>31</v>
      </c>
      <c r="C7" s="9">
        <v>9365</v>
      </c>
      <c r="D7" s="13">
        <f>RSCTabX[[#This Row],[Effectifs 2016]]/$C$9</f>
        <v>0.45093412942989214</v>
      </c>
      <c r="E7" s="9">
        <v>9302</v>
      </c>
      <c r="F7" s="13">
        <f>RSCTabX[[#This Row],[Effectifs 2019]]/$E$9</f>
        <v>0.44079040894659527</v>
      </c>
      <c r="G7" s="9">
        <v>9764</v>
      </c>
      <c r="H7" s="13">
        <f>RSCTabX[[#This Row],[Effectifs 2021]]/$G$9</f>
        <v>0.45589951907363307</v>
      </c>
      <c r="I7" s="9">
        <v>9727</v>
      </c>
      <c r="J7" s="13">
        <f>RSCTabX[[#This Row],[Effectifs 2022]]/$I$9</f>
        <v>0.44918032786885248</v>
      </c>
      <c r="K7" s="9">
        <f>SUMIF(HebergementClg[Secteur],"Public",HebergementClg[Effectifs Externes])+SUMIF(HébergementLycée[Secteur],"Public",HébergementLycée[Effectifs Externes])</f>
        <v>9446</v>
      </c>
      <c r="L7" s="13">
        <f>RSCTabX[[#This Row],[Effectifs 2023]]/$K$9</f>
        <v>0.43310408069692802</v>
      </c>
    </row>
    <row r="8" spans="1:12" ht="15" customHeight="1" x14ac:dyDescent="0.2">
      <c r="A8" s="11" t="s">
        <v>36</v>
      </c>
      <c r="B8" s="11" t="s">
        <v>32</v>
      </c>
      <c r="C8" s="9">
        <v>680</v>
      </c>
      <c r="D8" s="13">
        <f>RSCTabX[[#This Row],[Effectifs 2016]]/$C$9</f>
        <v>3.2742681047765794E-2</v>
      </c>
      <c r="E8" s="9">
        <v>697</v>
      </c>
      <c r="F8" s="13">
        <f>RSCTabX[[#This Row],[Effectifs 2019]]/$E$9</f>
        <v>3.3028479363123725E-2</v>
      </c>
      <c r="G8" s="9">
        <v>698</v>
      </c>
      <c r="H8" s="13">
        <f>RSCTabX[[#This Row],[Effectifs 2021]]/$G$9</f>
        <v>3.2590932436849233E-2</v>
      </c>
      <c r="I8" s="9">
        <v>688</v>
      </c>
      <c r="J8" s="13">
        <f>RSCTabX[[#This Row],[Effectifs 2022]]/$I$9</f>
        <v>3.1770953590394828E-2</v>
      </c>
      <c r="K8" s="9">
        <f>SUMIF(HebergementClg[Secteur],"Public",HebergementClg[Effectifs Internes])+SUMIF(HébergementLycée[Secteur],"Public",HébergementLycée[Effectifs Internes])</f>
        <v>659</v>
      </c>
      <c r="L8" s="13">
        <f>RSCTabX[[#This Row],[Effectifs 2023]]/$K$9</f>
        <v>3.0215497478220998E-2</v>
      </c>
    </row>
    <row r="9" spans="1:12" ht="15" customHeight="1" x14ac:dyDescent="0.2">
      <c r="A9" s="10" t="s">
        <v>13</v>
      </c>
      <c r="B9" s="10"/>
      <c r="C9" s="7">
        <f>SUBTOTAL(109,C6:C8)</f>
        <v>20768</v>
      </c>
      <c r="D9" s="14">
        <f t="shared" ref="D9" si="0">SUBTOTAL(109,D6:D8)</f>
        <v>1</v>
      </c>
      <c r="E9" s="7">
        <f>SUBTOTAL(109,E6:E8)</f>
        <v>21103</v>
      </c>
      <c r="F9" s="14">
        <f t="shared" ref="F9" si="1">SUBTOTAL(109,F6:F8)</f>
        <v>1</v>
      </c>
      <c r="G9" s="7">
        <f>SUBTOTAL(109,G6:G8)</f>
        <v>21417</v>
      </c>
      <c r="H9" s="14">
        <f t="shared" ref="H9" si="2">SUBTOTAL(109,H6:H8)</f>
        <v>1</v>
      </c>
      <c r="I9" s="7">
        <f>SUBTOTAL(109,I6:I8)</f>
        <v>21655</v>
      </c>
      <c r="J9" s="14">
        <f t="shared" ref="J9:L9" si="3">SUBTOTAL(109,J6:J8)</f>
        <v>1</v>
      </c>
      <c r="K9" s="7">
        <f>SUMIF(HebergementClg[Secteur],"Public",HebergementClg[Total])+SUMIF(HébergementLycée[Secteur],"Public",HébergementLycée[Total])</f>
        <v>21810</v>
      </c>
      <c r="L9" s="14">
        <f t="shared" si="3"/>
        <v>1</v>
      </c>
    </row>
    <row r="10" spans="1:12" ht="15" customHeight="1" x14ac:dyDescent="0.2">
      <c r="A10" s="8" t="s">
        <v>37</v>
      </c>
      <c r="B10" s="8" t="s">
        <v>30</v>
      </c>
      <c r="C10" s="9">
        <v>452</v>
      </c>
      <c r="D10" s="13">
        <f>RSCTabX[[#This Row],[Effectifs 2016]]/$C$13</f>
        <v>0.3328424153166421</v>
      </c>
      <c r="E10" s="9">
        <v>299</v>
      </c>
      <c r="F10" s="13">
        <f>RSCTabX[[#This Row],[Effectifs 2019]]/$E$13</f>
        <v>0.21872713972201902</v>
      </c>
      <c r="G10" s="9">
        <v>127</v>
      </c>
      <c r="H10" s="13">
        <f>RSCTabX[[#This Row],[Effectifs 2021]]/$G$13</f>
        <v>9.613928841786526E-2</v>
      </c>
      <c r="I10" s="9">
        <v>101</v>
      </c>
      <c r="J10" s="13">
        <f>RSCTabX[[#This Row],[Effectifs 2022]]/$I$13</f>
        <v>7.757296466973887E-2</v>
      </c>
      <c r="K10" s="9">
        <f>SUMIF(HebergementClg[Secteur],"Privé",HebergementClg[Effectifs Demi-pensionnaires])+SUMIF(HébergementLycée[Secteur],"Privé",HébergementLycée[Effectifs Demi-pensionnaires])</f>
        <v>496</v>
      </c>
      <c r="L10" s="13">
        <f>RSCTabX[[#This Row],[Effectifs 2023]]/$K$13</f>
        <v>0.3871975019516003</v>
      </c>
    </row>
    <row r="11" spans="1:12" ht="15" customHeight="1" x14ac:dyDescent="0.2">
      <c r="A11" s="8" t="s">
        <v>37</v>
      </c>
      <c r="B11" s="8" t="s">
        <v>31</v>
      </c>
      <c r="C11" s="9">
        <v>906</v>
      </c>
      <c r="D11" s="13">
        <f>RSCTabX[[#This Row],[Effectifs 2016]]/$C$13</f>
        <v>0.66715758468335784</v>
      </c>
      <c r="E11" s="9">
        <v>1068</v>
      </c>
      <c r="F11" s="13">
        <f>RSCTabX[[#This Row],[Effectifs 2019]]/$E$13</f>
        <v>0.78127286027798093</v>
      </c>
      <c r="G11" s="9">
        <v>1194</v>
      </c>
      <c r="H11" s="13">
        <f>RSCTabX[[#This Row],[Effectifs 2021]]/$G$13</f>
        <v>0.90386071158213477</v>
      </c>
      <c r="I11" s="9">
        <v>1201</v>
      </c>
      <c r="J11" s="13">
        <f>RSCTabX[[#This Row],[Effectifs 2022]]/$I$13</f>
        <v>0.92242703533026116</v>
      </c>
      <c r="K11" s="9">
        <f>SUMIF(HebergementClg[Secteur],"Privé",HebergementClg[Effectifs Externes])+SUMIF(HébergementLycée[Secteur],"Privé",HébergementLycée[Effectifs Externes])</f>
        <v>785</v>
      </c>
      <c r="L11" s="13">
        <f>RSCTabX[[#This Row],[Effectifs 2023]]/$K$13</f>
        <v>0.6128024980483997</v>
      </c>
    </row>
    <row r="12" spans="1:12" ht="15" customHeight="1" x14ac:dyDescent="0.2">
      <c r="A12" s="8" t="s">
        <v>37</v>
      </c>
      <c r="B12" s="8" t="s">
        <v>32</v>
      </c>
      <c r="C12" s="9">
        <v>0</v>
      </c>
      <c r="D12" s="13">
        <f>RSCTabX[[#This Row],[Effectifs 2016]]/$C$13</f>
        <v>0</v>
      </c>
      <c r="E12" s="9">
        <v>0</v>
      </c>
      <c r="F12" s="13">
        <f>RSCTabX[[#This Row],[Effectifs 2019]]/$E$13</f>
        <v>0</v>
      </c>
      <c r="G12" s="9">
        <v>0</v>
      </c>
      <c r="H12" s="13">
        <f>RSCTabX[[#This Row],[Effectifs 2021]]/$G$13</f>
        <v>0</v>
      </c>
      <c r="I12" s="9">
        <v>0</v>
      </c>
      <c r="J12" s="13">
        <f>RSCTabX[[#This Row],[Effectifs 2022]]/$I$13</f>
        <v>0</v>
      </c>
      <c r="K12" s="9">
        <f>SUMIF(HebergementClg[Secteur],"Privé",HebergementClg[Effectifs Internes])+SUMIF(HébergementLycée[Secteur],"Privé",HébergementLycée[Effectifs Internes])</f>
        <v>0</v>
      </c>
      <c r="L12" s="13">
        <f>RSCTabX[[#This Row],[Effectifs 2023]]/$K$13</f>
        <v>0</v>
      </c>
    </row>
    <row r="13" spans="1:12" ht="15" customHeight="1" x14ac:dyDescent="0.2">
      <c r="A13" s="6" t="s">
        <v>14</v>
      </c>
      <c r="B13" s="6"/>
      <c r="C13" s="7">
        <f t="shared" ref="C13:L13" si="4">SUBTOTAL(109,C10:C12)</f>
        <v>1358</v>
      </c>
      <c r="D13" s="14">
        <f t="shared" si="4"/>
        <v>1</v>
      </c>
      <c r="E13" s="7">
        <f t="shared" si="4"/>
        <v>1367</v>
      </c>
      <c r="F13" s="14">
        <f t="shared" si="4"/>
        <v>1</v>
      </c>
      <c r="G13" s="7">
        <f t="shared" si="4"/>
        <v>1321</v>
      </c>
      <c r="H13" s="14">
        <f t="shared" si="4"/>
        <v>1</v>
      </c>
      <c r="I13" s="7">
        <f t="shared" si="4"/>
        <v>1302</v>
      </c>
      <c r="J13" s="14">
        <f t="shared" si="4"/>
        <v>1</v>
      </c>
      <c r="K13" s="7">
        <f>SUMIF(HebergementClg[Secteur],"Privé",HebergementClg[Total])+SUMIF(HébergementLycée[Secteur],"Privé",HébergementLycée[Total])</f>
        <v>1281</v>
      </c>
      <c r="L13" s="14">
        <f t="shared" si="4"/>
        <v>1</v>
      </c>
    </row>
    <row r="14" spans="1:12" ht="15" customHeight="1" x14ac:dyDescent="0.2">
      <c r="A14" s="41" t="s">
        <v>38</v>
      </c>
      <c r="B14" s="8" t="s">
        <v>30</v>
      </c>
      <c r="C14" s="9">
        <f>C6+C10</f>
        <v>11175</v>
      </c>
      <c r="D14" s="13">
        <f>RSCTabX[[#This Row],[Effectifs 2016]]/$C$17</f>
        <v>0.50506191810539636</v>
      </c>
      <c r="E14" s="9">
        <f>E6+E10</f>
        <v>11403</v>
      </c>
      <c r="F14" s="13">
        <f>RSCTabX[[#This Row],[Effectifs 2019]]/$E$17</f>
        <v>0.50747663551401867</v>
      </c>
      <c r="G14" s="9">
        <f>G6+G10</f>
        <v>11082</v>
      </c>
      <c r="H14" s="13">
        <f>RSCTabX[[#This Row],[Effectifs 2021]]/$G$17</f>
        <v>0.48737795760401093</v>
      </c>
      <c r="I14" s="9">
        <f>I6+I10</f>
        <v>11341</v>
      </c>
      <c r="J14" s="13">
        <f>RSCTabX[[#This Row],[Effectifs 2022]]/$I$17</f>
        <v>0.4940105414470532</v>
      </c>
      <c r="K14" s="9">
        <f>HebergementClg[[#Totals],[Effectifs Demi-pensionnaires]]+HébergementLycée[[#Totals],[Effectifs Demi-pensionnaires]]</f>
        <v>12201</v>
      </c>
      <c r="L14" s="13">
        <f>RSCTabX[[#This Row],[Effectifs 2023]]/$K$17</f>
        <v>0.52838768351305698</v>
      </c>
    </row>
    <row r="15" spans="1:12" ht="15" customHeight="1" x14ac:dyDescent="0.2">
      <c r="A15" s="41" t="s">
        <v>38</v>
      </c>
      <c r="B15" s="8" t="s">
        <v>31</v>
      </c>
      <c r="C15" s="9">
        <f>C7+C11</f>
        <v>10271</v>
      </c>
      <c r="D15" s="13">
        <f>RSCTabX[[#This Row],[Effectifs 2016]]/$C$17</f>
        <v>0.46420500768326856</v>
      </c>
      <c r="E15" s="9">
        <f>E7+E11</f>
        <v>10370</v>
      </c>
      <c r="F15" s="13">
        <f>RSCTabX[[#This Row],[Effectifs 2019]]/$E$17</f>
        <v>0.46150422785936807</v>
      </c>
      <c r="G15" s="9">
        <f>G7+G11</f>
        <v>10958</v>
      </c>
      <c r="H15" s="13">
        <f>RSCTabX[[#This Row],[Effectifs 2021]]/$G$17</f>
        <v>0.48192453162107485</v>
      </c>
      <c r="I15" s="9">
        <f>I7+I11</f>
        <v>10928</v>
      </c>
      <c r="J15" s="13">
        <f>RSCTabX[[#This Row],[Effectifs 2022]]/$I$17</f>
        <v>0.47602038593892931</v>
      </c>
      <c r="K15" s="9">
        <f>HebergementClg[[#Totals],[Effectifs Externes]]+HébergementLycée[[#Totals],[Effectifs Externes]]</f>
        <v>10231</v>
      </c>
      <c r="L15" s="13">
        <f>RSCTabX[[#This Row],[Effectifs 2023]]/$K$17</f>
        <v>0.44307305876748515</v>
      </c>
    </row>
    <row r="16" spans="1:12" ht="15" customHeight="1" x14ac:dyDescent="0.2">
      <c r="A16" s="41" t="s">
        <v>38</v>
      </c>
      <c r="B16" s="8" t="s">
        <v>32</v>
      </c>
      <c r="C16" s="9">
        <f>C8+C12</f>
        <v>680</v>
      </c>
      <c r="D16" s="13">
        <f>RSCTabX[[#This Row],[Effectifs 2016]]/$C$17</f>
        <v>3.073307421133508E-2</v>
      </c>
      <c r="E16" s="9">
        <f>E8+E12</f>
        <v>697</v>
      </c>
      <c r="F16" s="13">
        <f>RSCTabX[[#This Row],[Effectifs 2019]]/$E$17</f>
        <v>3.1019136626613261E-2</v>
      </c>
      <c r="G16" s="9">
        <f>G8+G12</f>
        <v>698</v>
      </c>
      <c r="H16" s="13">
        <f>RSCTabX[[#This Row],[Effectifs 2021]]/$G$17</f>
        <v>3.0697510774914241E-2</v>
      </c>
      <c r="I16" s="9">
        <f>I8+I12</f>
        <v>688</v>
      </c>
      <c r="J16" s="13">
        <f>RSCTabX[[#This Row],[Effectifs 2022]]/$I$17</f>
        <v>2.996907261401751E-2</v>
      </c>
      <c r="K16" s="9">
        <f>HebergementClg[[#Totals],[Effectifs Internes]]+HébergementLycée[[#Totals],[Effectifs Internes]]</f>
        <v>659</v>
      </c>
      <c r="L16" s="13">
        <f>RSCTabX[[#This Row],[Effectifs 2023]]/$K$17</f>
        <v>2.8539257719457797E-2</v>
      </c>
    </row>
    <row r="17" spans="1:12" s="5" customFormat="1" ht="15" customHeight="1" x14ac:dyDescent="0.2">
      <c r="A17" s="6" t="s">
        <v>39</v>
      </c>
      <c r="B17" s="6"/>
      <c r="C17" s="7">
        <f>SUBTOTAL(109,C14:C16)</f>
        <v>22126</v>
      </c>
      <c r="D17" s="14">
        <f>RSCTabX[[#This Row],[Effectifs 2016]]/$C$17</f>
        <v>1</v>
      </c>
      <c r="E17" s="7">
        <f>SUBTOTAL(109,E14:E16)</f>
        <v>22470</v>
      </c>
      <c r="F17" s="14">
        <f>RSCTabX[[#This Row],[Effectifs 2016]]/$C$17</f>
        <v>1</v>
      </c>
      <c r="G17" s="7">
        <f>SUBTOTAL(109,G14:G16)</f>
        <v>22738</v>
      </c>
      <c r="H17" s="14">
        <f>RSCTabX[[#This Row],[Effectifs 2016]]/$C$17</f>
        <v>1</v>
      </c>
      <c r="I17" s="7">
        <f>SUBTOTAL(109,I14:I16)</f>
        <v>22957</v>
      </c>
      <c r="J17" s="14">
        <f>RSCTabX[[#This Row],[Effectifs 2016]]/$C$17</f>
        <v>1</v>
      </c>
      <c r="K17" s="7">
        <f>SUBTOTAL(109,K14:K16)</f>
        <v>23091</v>
      </c>
      <c r="L17" s="14">
        <f>RSCTabX[[#This Row],[Effectifs 2016]]/$C$17</f>
        <v>1</v>
      </c>
    </row>
    <row r="18" spans="1:12" ht="15" customHeight="1" x14ac:dyDescent="0.2"/>
    <row r="19" spans="1:12" ht="15" customHeight="1" x14ac:dyDescent="0.2">
      <c r="A19" s="37" t="s">
        <v>28</v>
      </c>
      <c r="B19" s="37"/>
      <c r="C19" s="37"/>
      <c r="D19" s="37"/>
    </row>
    <row r="20" spans="1:12" ht="15" customHeight="1" x14ac:dyDescent="0.2">
      <c r="A20" s="24"/>
      <c r="B20" s="32"/>
      <c r="C20" s="33"/>
      <c r="D20" s="32"/>
    </row>
    <row r="21" spans="1:12" ht="15" customHeight="1" x14ac:dyDescent="0.2">
      <c r="A21" s="36" t="s">
        <v>29</v>
      </c>
    </row>
    <row r="22" spans="1:12" ht="15" customHeight="1" x14ac:dyDescent="0.2">
      <c r="A22" s="35"/>
    </row>
    <row r="23" spans="1:12" ht="15" customHeight="1" x14ac:dyDescent="0.2"/>
    <row r="24" spans="1:12" ht="15" customHeight="1" x14ac:dyDescent="0.2"/>
    <row r="25" spans="1:12" ht="15" customHeight="1" x14ac:dyDescent="0.2"/>
    <row r="26" spans="1:12" ht="15" customHeight="1" x14ac:dyDescent="0.2"/>
    <row r="27" spans="1:12" ht="15" customHeight="1" x14ac:dyDescent="0.2"/>
    <row r="28" spans="1:12" ht="15" customHeight="1" x14ac:dyDescent="0.2"/>
    <row r="29" spans="1:12" ht="15" customHeight="1" x14ac:dyDescent="0.2"/>
    <row r="30" spans="1:12" ht="15" customHeight="1" x14ac:dyDescent="0.2"/>
    <row r="31" spans="1:12" s="5" customFormat="1" ht="15" customHeight="1" x14ac:dyDescent="0.2">
      <c r="A31" s="45"/>
      <c r="B31" s="46"/>
      <c r="C31" s="46"/>
      <c r="D31" s="46"/>
      <c r="E31" s="46"/>
      <c r="F31" s="4"/>
      <c r="G31" s="4"/>
      <c r="H31" s="4"/>
      <c r="I31" s="4"/>
    </row>
    <row r="32" spans="1:12" ht="15" customHeight="1" x14ac:dyDescent="0.2"/>
    <row r="33" spans="1:9" ht="15" customHeight="1" x14ac:dyDescent="0.2"/>
    <row r="34" spans="1:9" ht="15" customHeight="1" x14ac:dyDescent="0.2"/>
    <row r="35" spans="1:9" ht="15" customHeight="1" x14ac:dyDescent="0.2"/>
    <row r="36" spans="1:9" ht="15" customHeight="1" x14ac:dyDescent="0.2"/>
    <row r="37" spans="1:9" ht="15" customHeight="1" x14ac:dyDescent="0.2"/>
    <row r="38" spans="1:9" ht="15" customHeight="1" x14ac:dyDescent="0.2"/>
    <row r="39" spans="1:9" s="5" customFormat="1" ht="15" customHeight="1" x14ac:dyDescent="0.2">
      <c r="A39" s="45"/>
      <c r="B39" s="46"/>
      <c r="C39" s="46"/>
      <c r="D39" s="46"/>
      <c r="E39" s="46"/>
      <c r="F39" s="4"/>
      <c r="G39" s="4"/>
      <c r="H39" s="4"/>
      <c r="I39" s="4"/>
    </row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s="5" customFormat="1" ht="15" customHeight="1" x14ac:dyDescent="0.2">
      <c r="A47" s="45"/>
      <c r="B47" s="46"/>
      <c r="C47" s="46"/>
      <c r="D47" s="46"/>
      <c r="E47" s="46"/>
      <c r="F47" s="4"/>
      <c r="G47" s="4"/>
      <c r="H47" s="4"/>
      <c r="I47" s="4"/>
    </row>
    <row r="48" spans="1:9" ht="15" customHeight="1" x14ac:dyDescent="0.2"/>
    <row r="49" spans="1:9" ht="15" customHeight="1" x14ac:dyDescent="0.2"/>
    <row r="50" spans="1:9" ht="15" customHeight="1" x14ac:dyDescent="0.2"/>
    <row r="51" spans="1:9" ht="15" customHeight="1" x14ac:dyDescent="0.2"/>
    <row r="52" spans="1:9" ht="15" customHeight="1" x14ac:dyDescent="0.2"/>
    <row r="53" spans="1:9" ht="15" customHeight="1" x14ac:dyDescent="0.2"/>
    <row r="54" spans="1:9" ht="15" customHeight="1" x14ac:dyDescent="0.2"/>
    <row r="55" spans="1:9" ht="15" customHeight="1" x14ac:dyDescent="0.2"/>
    <row r="56" spans="1:9" ht="15" customHeight="1" x14ac:dyDescent="0.2"/>
    <row r="57" spans="1:9" ht="15" customHeight="1" x14ac:dyDescent="0.2"/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s="5" customFormat="1" ht="15" customHeight="1" x14ac:dyDescent="0.2">
      <c r="A63" s="45"/>
      <c r="B63" s="46"/>
      <c r="C63" s="46"/>
      <c r="D63" s="46"/>
      <c r="E63" s="46"/>
      <c r="F63" s="4"/>
      <c r="G63" s="4"/>
      <c r="H63" s="4"/>
      <c r="I63" s="4"/>
    </row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x14ac:dyDescent="0.2"/>
    <row r="313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5"/>
  <sheetViews>
    <sheetView showGridLines="0" zoomScaleNormal="100" zoomScaleSheetLayoutView="100" workbookViewId="0">
      <selection activeCell="H29" sqref="H29"/>
    </sheetView>
  </sheetViews>
  <sheetFormatPr baseColWidth="10" defaultRowHeight="12.75" zeroHeight="1" x14ac:dyDescent="0.2"/>
  <cols>
    <col min="1" max="1" width="21.28515625" style="45" customWidth="1"/>
    <col min="2" max="2" width="14.5703125" style="46" bestFit="1" customWidth="1"/>
    <col min="3" max="5" width="10.7109375" style="46" customWidth="1"/>
    <col min="6" max="7" width="10.7109375" style="4" customWidth="1"/>
    <col min="8" max="8" width="10.7109375" style="50" customWidth="1"/>
    <col min="9" max="11" width="10.7109375" style="4" customWidth="1"/>
    <col min="12" max="16384" width="11.42578125" style="4"/>
  </cols>
  <sheetData>
    <row r="1" spans="1:10" ht="17.25" thickBot="1" x14ac:dyDescent="0.25">
      <c r="A1" s="20" t="str">
        <f>'2.04 Notice'!A9</f>
        <v>2.04 L’hébergement des élèves dans les établissements du second degré</v>
      </c>
      <c r="B1" s="44"/>
      <c r="C1" s="44"/>
      <c r="D1" s="44"/>
      <c r="E1" s="44"/>
    </row>
    <row r="2" spans="1:10" ht="13.5" thickTop="1" x14ac:dyDescent="0.2"/>
    <row r="3" spans="1:10" s="5" customFormat="1" ht="15.75" customHeight="1" x14ac:dyDescent="0.2">
      <c r="A3" s="110" t="str">
        <f>'2.04 Notice'!A17</f>
        <v>[3] Répartition des élèves du second degré et du post-bac selon le mode d'hébergement et le type d'établissement à la rentrée 2023</v>
      </c>
      <c r="H3" s="51"/>
      <c r="J3" s="4"/>
    </row>
    <row r="4" spans="1:10" x14ac:dyDescent="0.2"/>
    <row r="5" spans="1:10" ht="22.5" x14ac:dyDescent="0.2">
      <c r="A5" s="3" t="s">
        <v>34</v>
      </c>
      <c r="B5" s="3" t="s">
        <v>35</v>
      </c>
      <c r="C5" s="42" t="s">
        <v>50</v>
      </c>
      <c r="D5" s="43" t="s">
        <v>51</v>
      </c>
      <c r="E5" s="43" t="s">
        <v>52</v>
      </c>
      <c r="F5" s="43" t="s">
        <v>53</v>
      </c>
      <c r="G5" s="43" t="s">
        <v>54</v>
      </c>
      <c r="H5" s="47" t="s">
        <v>55</v>
      </c>
    </row>
    <row r="6" spans="1:10" ht="15" customHeight="1" x14ac:dyDescent="0.2">
      <c r="A6" s="11" t="s">
        <v>38</v>
      </c>
      <c r="B6" s="11" t="s">
        <v>30</v>
      </c>
      <c r="C6" s="13">
        <f>SUM(HebergementClg[Effectifs Demi-pensionnaires])/C10</f>
        <v>0.66058206876328718</v>
      </c>
      <c r="D6" s="13">
        <f>SUMIF(HébergementLycée[Type],"EREA",HébergementLycée[Effectifs Demi-pensionnaires])/D10</f>
        <v>0.49074074074074076</v>
      </c>
      <c r="E6" s="13">
        <f>SUMIF(HébergementLycée[Type],"LP",HébergementLycée[Effectifs Demi-pensionnaires])/E10</f>
        <v>0.1902725815072154</v>
      </c>
      <c r="F6" s="13">
        <f>(SUMIF(HébergementLycée[Type],"LEGT",HébergementLycée[Effectifs Demi-pensionnaires])+SUMIF(HébergementLycée[Type],"LG",HébergementLycée[Effectifs Demi-pensionnaires])+SUMIF(HébergementLycée[Type],"LPO",HébergementLycée[Effectifs Demi-pensionnaires]))/F10</f>
        <v>0.37223932539151383</v>
      </c>
      <c r="G6" s="13">
        <f>(HébergementLycée[[#Totals],[Effectifs Demi-pensionnaires]]+HebergementClg[[#Totals],[Effectifs Demi-pensionnaires]])/G10</f>
        <v>0.52838768351305698</v>
      </c>
      <c r="H6" s="52">
        <v>2E-3</v>
      </c>
    </row>
    <row r="7" spans="1:10" ht="15" customHeight="1" x14ac:dyDescent="0.2">
      <c r="A7" s="11"/>
      <c r="B7" s="11" t="s">
        <v>31</v>
      </c>
      <c r="C7" s="13">
        <f>SUM(HebergementClg[Effectifs Externes])/C10</f>
        <v>0.33773183784180044</v>
      </c>
      <c r="D7" s="13">
        <f>SUMIF(HébergementLycée[Type],"EREA",HébergementLycée[Effectifs Externes])/D10</f>
        <v>9.2592592592592587E-3</v>
      </c>
      <c r="E7" s="13">
        <f>SUMIF(HébergementLycée[Type],"LP",HébergementLycée[Effectifs Externes])/E10</f>
        <v>0.65419561731694276</v>
      </c>
      <c r="F7" s="13">
        <f>(SUMIF(HébergementLycée[Type],"LEGT",HébergementLycée[Effectifs Externes])+SUMIF(HébergementLycée[Type],"LG",HébergementLycée[Effectifs Externes])+SUMIF(HébergementLycée[Type],"LPO",HébergementLycée[Effectifs Externes]))/F10</f>
        <v>0.58881006558693616</v>
      </c>
      <c r="G7" s="13">
        <f>(HébergementLycée[[#Totals],[Effectifs Externes]]+HebergementClg[[#Totals],[Effectifs Externes]])/G10</f>
        <v>0.44307305876748515</v>
      </c>
      <c r="H7" s="52">
        <v>2.5000000000000001E-2</v>
      </c>
    </row>
    <row r="8" spans="1:10" ht="15" customHeight="1" x14ac:dyDescent="0.2">
      <c r="A8" s="11"/>
      <c r="B8" s="11" t="s">
        <v>32</v>
      </c>
      <c r="C8" s="13">
        <f>SUM(HebergementClg[Effectifs Internes])/C10</f>
        <v>1.6860933949123965E-3</v>
      </c>
      <c r="D8" s="13">
        <f>SUMIF(HébergementLycée[Type],"EREA",HébergementLycée[Effectifs Internes])/D10</f>
        <v>0.5</v>
      </c>
      <c r="E8" s="13">
        <f>SUMIF(HébergementLycée[Type],"LP",HébergementLycée[Effectifs Internes])/E10</f>
        <v>0.15553180117584178</v>
      </c>
      <c r="F8" s="13">
        <f>(SUMIF(HébergementLycée[Type],"LEGT",HébergementLycée[Effectifs Internes])+SUMIF(HébergementLycée[Type],"LG",HébergementLycée[Effectifs Internes])+SUMIF(HébergementLycée[Type],"LPO",HébergementLycée[Effectifs Internes]))/F10</f>
        <v>3.8950609021549995E-2</v>
      </c>
      <c r="G8" s="13">
        <f>(HébergementLycée[[#Totals],[Effectifs Internes]]+HebergementClg[[#Totals],[Effectifs Internes]])/G10</f>
        <v>2.8539257719457797E-2</v>
      </c>
      <c r="H8" s="52">
        <v>2E-3</v>
      </c>
    </row>
    <row r="9" spans="1:10" ht="15" customHeight="1" x14ac:dyDescent="0.2">
      <c r="A9" s="41"/>
      <c r="B9" s="10" t="s">
        <v>54</v>
      </c>
      <c r="C9" s="14">
        <f>SUBTOTAL(109,C6:C8)</f>
        <v>1</v>
      </c>
      <c r="D9" s="14">
        <f t="shared" ref="D9" si="0">SUBTOTAL(109,D6:D8)</f>
        <v>1</v>
      </c>
      <c r="E9" s="14">
        <f t="shared" ref="E9" si="1">SUBTOTAL(109,E6:E8)</f>
        <v>0.99999999999999989</v>
      </c>
      <c r="F9" s="14">
        <f t="shared" ref="F9:G9" si="2">SUBTOTAL(109,F6:F8)</f>
        <v>1</v>
      </c>
      <c r="G9" s="14">
        <f t="shared" si="2"/>
        <v>0.99999999999999989</v>
      </c>
      <c r="H9" s="53">
        <f>SUBTOTAL(109,H6:H8)</f>
        <v>2.9000000000000005E-2</v>
      </c>
    </row>
    <row r="10" spans="1:10" ht="15" customHeight="1" x14ac:dyDescent="0.2">
      <c r="A10" s="41"/>
      <c r="B10" s="48" t="s">
        <v>20</v>
      </c>
      <c r="C10" s="49">
        <f>SUM(HebergementClg[Total])</f>
        <v>13641</v>
      </c>
      <c r="D10" s="49">
        <f>SUMIF(HébergementLycée[Type],"EREA",HébergementLycée[Total])</f>
        <v>108</v>
      </c>
      <c r="E10" s="49">
        <f>SUMIF(HébergementLycée[Type],"LP",HébergementLycée[Total])</f>
        <v>1871</v>
      </c>
      <c r="F10" s="49">
        <f>SUMIF(HébergementLycée[Type],"LEGT",HébergementLycée[Total])+SUMIF(HébergementLycée[Type],"LG",HébergementLycée[Total])+SUMIF(HébergementLycée[Type],"LPO",HébergementLycée[Total])</f>
        <v>7471</v>
      </c>
      <c r="G10" s="49">
        <f>SUM(RSCTabX2[[#This Row],[Collège]:[LEGT]])</f>
        <v>23091</v>
      </c>
      <c r="H10" s="49"/>
    </row>
    <row r="11" spans="1:10" ht="15" customHeight="1" x14ac:dyDescent="0.2">
      <c r="A11" s="106" t="s">
        <v>56</v>
      </c>
      <c r="B11" s="54" t="s">
        <v>30</v>
      </c>
      <c r="C11" s="55">
        <f>SUMIF(HebergementClg[Secteur],"Public",HebergementClg[Effectifs Demi-pensionnaires])/C15</f>
        <v>0.67052737240367544</v>
      </c>
      <c r="D11" s="55">
        <f>SUMIFS(HébergementLycée[Effectifs Demi-pensionnaires],HébergementLycée[Type],"EREA",HébergementLycée[Secteur],"Public")/D15</f>
        <v>0.49074074074074076</v>
      </c>
      <c r="E11" s="55">
        <f>SUMIFS(HébergementLycée[Effectifs Demi-pensionnaires],HébergementLycée[Type],"LP",HébergementLycée[Secteur],"Public")/E15</f>
        <v>0.1902725815072154</v>
      </c>
      <c r="F11" s="55">
        <f>(SUMIFS(HébergementLycée[Effectifs Demi-pensionnaires],HébergementLycée[Type],"LEGT",HébergementLycée[Secteur],"Public")+SUMIFS(HébergementLycée[Effectifs Demi-pensionnaires],HébergementLycée[Type],"LG",HébergementLycée[Secteur],"Public")+SUMIFS(HébergementLycée[Effectifs Demi-pensionnaires],HébergementLycée[Type],"LPO",HébergementLycée[Secteur],"Public"))/F15</f>
        <v>0.37965116279069766</v>
      </c>
      <c r="G11" s="55">
        <v>0.51900000000000002</v>
      </c>
      <c r="H11" s="56">
        <v>2E-3</v>
      </c>
    </row>
    <row r="12" spans="1:10" ht="15" customHeight="1" x14ac:dyDescent="0.2">
      <c r="A12" s="8"/>
      <c r="B12" s="8" t="s">
        <v>31</v>
      </c>
      <c r="C12" s="13">
        <f>SUMIF(HebergementClg[Secteur],"Public",HebergementClg[Effectifs Externes])/C15</f>
        <v>0.32769670295730058</v>
      </c>
      <c r="D12" s="13">
        <f>SUMIFS(HébergementLycée[Effectifs Externes],HébergementLycée[Type],"EREA",HébergementLycée[Secteur],"Public")/D15</f>
        <v>9.2592592592592587E-3</v>
      </c>
      <c r="E12" s="13">
        <f>SUMIFS(HébergementLycée[Effectifs Externes],HébergementLycée[Type],"LP",HébergementLycée[Secteur],"Public")/E15</f>
        <v>0.65419561731694276</v>
      </c>
      <c r="F12" s="13">
        <f>(SUMIFS(HébergementLycée[Effectifs Externes],HébergementLycée[Type],"LEGT",HébergementLycée[Secteur],"Public")+SUMIFS(HébergementLycée[Effectifs Externes],HébergementLycée[Type],"LG",HébergementLycée[Secteur],"Public")+SUMIFS(HébergementLycée[Effectifs Externes],HébergementLycée[Type],"LPO",HébergementLycée[Secteur],"Public"))/F15</f>
        <v>0.5780523255813953</v>
      </c>
      <c r="G12" s="13">
        <v>0.44900000000000001</v>
      </c>
      <c r="H12" s="52">
        <v>2.5000000000000001E-2</v>
      </c>
    </row>
    <row r="13" spans="1:10" ht="15" customHeight="1" x14ac:dyDescent="0.2">
      <c r="A13" s="8"/>
      <c r="B13" s="8" t="s">
        <v>32</v>
      </c>
      <c r="C13" s="13">
        <f>SUMIF(HebergementClg[Secteur],"Public",HebergementClg[Effectifs Internes])/C15</f>
        <v>1.7759246390240135E-3</v>
      </c>
      <c r="D13" s="13">
        <f>SUMIFS(HébergementLycée[Effectifs Internes],HébergementLycée[Type],"EREA",HébergementLycée[Secteur],"Public")/D15</f>
        <v>0.5</v>
      </c>
      <c r="E13" s="13">
        <f>SUMIFS(HébergementLycée[Effectifs Internes],HébergementLycée[Type],"LP",HébergementLycée[Secteur],"Public")/E15</f>
        <v>0.15553180117584178</v>
      </c>
      <c r="F13" s="13">
        <f>(SUMIFS(HébergementLycée[Effectifs Internes],HébergementLycée[Type],"LEGT",HébergementLycée[Secteur],"Public")+SUMIFS(HébergementLycée[Effectifs Internes],HébergementLycée[Type],"LG",HébergementLycée[Secteur],"Public")+SUMIFS(HébergementLycée[Effectifs Internes],HébergementLycée[Type],"LPO",HébergementLycée[Secteur],"Public"))/F15</f>
        <v>4.2296511627906978E-2</v>
      </c>
      <c r="G13" s="13">
        <v>3.2000000000000001E-2</v>
      </c>
      <c r="H13" s="52">
        <v>2E-3</v>
      </c>
    </row>
    <row r="14" spans="1:10" ht="15" customHeight="1" x14ac:dyDescent="0.2">
      <c r="A14" s="41"/>
      <c r="B14" s="6" t="s">
        <v>54</v>
      </c>
      <c r="C14" s="14">
        <f t="shared" ref="C14:H14" si="3">SUBTOTAL(109,C11:C13)</f>
        <v>1</v>
      </c>
      <c r="D14" s="14">
        <f t="shared" si="3"/>
        <v>1</v>
      </c>
      <c r="E14" s="14">
        <f t="shared" si="3"/>
        <v>0.99999999999999989</v>
      </c>
      <c r="F14" s="14">
        <f t="shared" si="3"/>
        <v>0.99999999999999989</v>
      </c>
      <c r="G14" s="14">
        <f t="shared" si="3"/>
        <v>1</v>
      </c>
      <c r="H14" s="53">
        <f t="shared" si="3"/>
        <v>2.9000000000000005E-2</v>
      </c>
    </row>
    <row r="15" spans="1:10" ht="15" customHeight="1" x14ac:dyDescent="0.2">
      <c r="A15" s="41"/>
      <c r="B15" s="92" t="s">
        <v>20</v>
      </c>
      <c r="C15" s="49">
        <f>SUMIF(HebergementClg[Secteur],"Public",HebergementClg[Total])</f>
        <v>12951</v>
      </c>
      <c r="D15" s="49">
        <f>SUMIFS(HébergementLycée[Total],HébergementLycée[Type],"EREA",HébergementLycée[Secteur],"Public")</f>
        <v>108</v>
      </c>
      <c r="E15" s="49">
        <f>SUMIFS(HébergementLycée[Total],HébergementLycée[Type],"LP",HébergementLycée[Secteur],"Public")</f>
        <v>1871</v>
      </c>
      <c r="F15" s="49">
        <f>SUMIFS(HébergementLycée[Total],HébergementLycée[Type],"LEGT",HébergementLycée[Secteur],"Public")+SUMIFS(HébergementLycée[Total],HébergementLycée[Type],"LG",HébergementLycée[Secteur],"Public")+SUMIFS(HébergementLycée[Total],HébergementLycée[Type],"LPO",HébergementLycée[Secteur],"Public")</f>
        <v>6880</v>
      </c>
      <c r="G15" s="49">
        <f>SUM(RSCTabX2[[#This Row],[Collège]:[LEGT]])</f>
        <v>21810</v>
      </c>
      <c r="H15" s="49"/>
    </row>
    <row r="16" spans="1:10" s="21" customFormat="1" ht="15" customHeight="1" x14ac:dyDescent="0.2">
      <c r="A16" s="93"/>
      <c r="B16" s="25"/>
      <c r="C16" s="25"/>
      <c r="D16" s="25"/>
      <c r="E16" s="25"/>
      <c r="H16" s="50"/>
    </row>
    <row r="17" spans="1:8" s="5" customFormat="1" ht="15" customHeight="1" x14ac:dyDescent="0.2">
      <c r="A17" s="37" t="s">
        <v>163</v>
      </c>
      <c r="B17" s="37"/>
      <c r="C17" s="37"/>
      <c r="D17" s="37"/>
      <c r="E17" s="25"/>
      <c r="F17" s="21"/>
      <c r="G17" s="21"/>
      <c r="H17" s="50"/>
    </row>
    <row r="18" spans="1:8" s="21" customFormat="1" ht="15" customHeight="1" x14ac:dyDescent="0.2">
      <c r="A18" s="24"/>
      <c r="B18" s="30"/>
      <c r="C18" s="94"/>
      <c r="D18" s="30"/>
      <c r="E18" s="25"/>
      <c r="H18" s="50"/>
    </row>
    <row r="19" spans="1:8" s="21" customFormat="1" ht="15" customHeight="1" x14ac:dyDescent="0.2">
      <c r="A19" s="36" t="s">
        <v>29</v>
      </c>
      <c r="B19" s="25"/>
      <c r="C19" s="25"/>
      <c r="D19" s="25"/>
      <c r="E19" s="25"/>
      <c r="H19" s="50"/>
    </row>
    <row r="20" spans="1:8" s="21" customFormat="1" ht="15" customHeight="1" x14ac:dyDescent="0.2">
      <c r="A20" s="35"/>
      <c r="B20" s="25"/>
      <c r="C20" s="25"/>
      <c r="D20" s="25"/>
      <c r="E20" s="25"/>
      <c r="H20" s="50"/>
    </row>
    <row r="21" spans="1:8" s="21" customFormat="1" ht="15" customHeight="1" x14ac:dyDescent="0.2">
      <c r="A21" s="93"/>
      <c r="B21" s="25"/>
      <c r="C21" s="25"/>
      <c r="D21" s="25"/>
      <c r="E21" s="25"/>
      <c r="H21" s="50"/>
    </row>
    <row r="22" spans="1:8" s="21" customFormat="1" ht="15" customHeight="1" x14ac:dyDescent="0.2">
      <c r="A22" s="93"/>
      <c r="B22" s="25"/>
      <c r="C22" s="25"/>
      <c r="D22" s="25"/>
      <c r="E22" s="25"/>
      <c r="H22" s="50"/>
    </row>
    <row r="23" spans="1:8" s="21" customFormat="1" ht="15" customHeight="1" x14ac:dyDescent="0.2">
      <c r="A23" s="93"/>
      <c r="B23" s="25"/>
      <c r="C23" s="25"/>
      <c r="D23" s="25"/>
      <c r="E23" s="25"/>
      <c r="H23" s="50"/>
    </row>
    <row r="24" spans="1:8" s="21" customFormat="1" ht="15" customHeight="1" x14ac:dyDescent="0.2">
      <c r="A24" s="93"/>
      <c r="B24" s="25"/>
      <c r="C24" s="25"/>
      <c r="D24" s="25"/>
      <c r="E24" s="25"/>
      <c r="H24" s="50"/>
    </row>
    <row r="25" spans="1:8" s="21" customFormat="1" ht="15" customHeight="1" x14ac:dyDescent="0.2">
      <c r="A25" s="93"/>
      <c r="B25" s="25"/>
      <c r="C25" s="25"/>
      <c r="D25" s="25"/>
      <c r="E25" s="25"/>
      <c r="H25" s="50"/>
    </row>
    <row r="26" spans="1:8" s="21" customFormat="1" ht="15" customHeight="1" x14ac:dyDescent="0.2">
      <c r="A26" s="93"/>
      <c r="B26" s="25"/>
      <c r="C26" s="25"/>
      <c r="D26" s="25"/>
      <c r="E26" s="25"/>
      <c r="H26" s="50"/>
    </row>
    <row r="27" spans="1:8" s="21" customFormat="1" ht="15" customHeight="1" x14ac:dyDescent="0.2">
      <c r="A27" s="93"/>
      <c r="B27" s="25"/>
      <c r="C27" s="25"/>
      <c r="D27" s="25"/>
      <c r="E27" s="25"/>
      <c r="H27" s="50"/>
    </row>
    <row r="28" spans="1:8" s="21" customFormat="1" ht="15" customHeight="1" x14ac:dyDescent="0.2">
      <c r="A28" s="93"/>
      <c r="B28" s="25"/>
      <c r="C28" s="25"/>
      <c r="D28" s="25"/>
      <c r="E28" s="25"/>
      <c r="H28" s="50"/>
    </row>
    <row r="29" spans="1:8" s="21" customFormat="1" ht="15" customHeight="1" x14ac:dyDescent="0.2">
      <c r="A29" s="93"/>
      <c r="B29" s="25"/>
      <c r="C29" s="25"/>
      <c r="D29" s="25"/>
      <c r="E29" s="25"/>
      <c r="H29" s="50"/>
    </row>
    <row r="30" spans="1:8" s="21" customFormat="1" ht="15" customHeight="1" x14ac:dyDescent="0.2">
      <c r="A30" s="93"/>
      <c r="B30" s="25"/>
      <c r="C30" s="25"/>
      <c r="D30" s="25"/>
      <c r="E30" s="25"/>
      <c r="H30" s="50"/>
    </row>
    <row r="31" spans="1:8" s="5" customFormat="1" ht="15" customHeight="1" x14ac:dyDescent="0.2">
      <c r="A31" s="93"/>
      <c r="B31" s="25"/>
      <c r="C31" s="25"/>
      <c r="D31" s="25"/>
      <c r="E31" s="25"/>
      <c r="F31" s="21"/>
      <c r="G31" s="21"/>
      <c r="H31" s="50"/>
    </row>
    <row r="32" spans="1:8" ht="15" customHeight="1" x14ac:dyDescent="0.2"/>
    <row r="33" spans="1:8" ht="15" customHeight="1" x14ac:dyDescent="0.2"/>
    <row r="34" spans="1:8" ht="15" customHeight="1" x14ac:dyDescent="0.2"/>
    <row r="35" spans="1:8" ht="15" customHeight="1" x14ac:dyDescent="0.2"/>
    <row r="36" spans="1:8" ht="15" customHeight="1" x14ac:dyDescent="0.2"/>
    <row r="37" spans="1:8" ht="15" customHeight="1" x14ac:dyDescent="0.2"/>
    <row r="38" spans="1:8" ht="15" customHeight="1" x14ac:dyDescent="0.2"/>
    <row r="39" spans="1:8" s="5" customFormat="1" ht="15" customHeight="1" x14ac:dyDescent="0.2">
      <c r="A39" s="45"/>
      <c r="B39" s="46"/>
      <c r="C39" s="46"/>
      <c r="D39" s="46"/>
      <c r="E39" s="46"/>
      <c r="F39" s="4"/>
      <c r="G39" s="4"/>
      <c r="H39" s="50"/>
    </row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s="5" customFormat="1" ht="15" customHeight="1" x14ac:dyDescent="0.2">
      <c r="A47" s="45"/>
      <c r="B47" s="46"/>
      <c r="C47" s="46"/>
      <c r="D47" s="46"/>
      <c r="E47" s="46"/>
      <c r="F47" s="4"/>
      <c r="G47" s="4"/>
      <c r="H47" s="50"/>
    </row>
    <row r="48" spans="1:8" ht="15" customHeight="1" x14ac:dyDescent="0.2"/>
    <row r="49" spans="1:8" ht="15" customHeight="1" x14ac:dyDescent="0.2"/>
    <row r="50" spans="1:8" ht="15" customHeight="1" x14ac:dyDescent="0.2"/>
    <row r="51" spans="1:8" ht="15" customHeight="1" x14ac:dyDescent="0.2"/>
    <row r="52" spans="1:8" ht="15" customHeight="1" x14ac:dyDescent="0.2"/>
    <row r="53" spans="1:8" ht="15" customHeight="1" x14ac:dyDescent="0.2"/>
    <row r="54" spans="1:8" ht="15" customHeight="1" x14ac:dyDescent="0.2"/>
    <row r="55" spans="1:8" ht="15" customHeight="1" x14ac:dyDescent="0.2"/>
    <row r="56" spans="1:8" ht="15" customHeight="1" x14ac:dyDescent="0.2"/>
    <row r="57" spans="1:8" ht="15" customHeight="1" x14ac:dyDescent="0.2"/>
    <row r="58" spans="1:8" ht="15" customHeight="1" x14ac:dyDescent="0.2"/>
    <row r="59" spans="1:8" ht="15" customHeight="1" x14ac:dyDescent="0.2"/>
    <row r="60" spans="1:8" ht="15" customHeight="1" x14ac:dyDescent="0.2"/>
    <row r="61" spans="1:8" ht="15" customHeight="1" x14ac:dyDescent="0.2"/>
    <row r="62" spans="1:8" ht="15" customHeight="1" x14ac:dyDescent="0.2"/>
    <row r="63" spans="1:8" s="5" customFormat="1" ht="15" customHeight="1" x14ac:dyDescent="0.2">
      <c r="A63" s="45"/>
      <c r="B63" s="46"/>
      <c r="C63" s="46"/>
      <c r="D63" s="46"/>
      <c r="E63" s="46"/>
      <c r="F63" s="4"/>
      <c r="G63" s="4"/>
      <c r="H63" s="50"/>
    </row>
    <row r="64" spans="1: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x14ac:dyDescent="0.2"/>
    <row r="313" x14ac:dyDescent="0.2"/>
    <row r="314" hidden="1" x14ac:dyDescent="0.2"/>
    <row r="315" hidden="1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3"/>
  <sheetViews>
    <sheetView showGridLines="0" workbookViewId="0">
      <selection activeCell="N35" sqref="N35"/>
    </sheetView>
  </sheetViews>
  <sheetFormatPr baseColWidth="10" defaultRowHeight="12.75" x14ac:dyDescent="0.2"/>
  <cols>
    <col min="1" max="1" width="11.42578125" style="77"/>
    <col min="2" max="2" width="8.140625" style="77" bestFit="1" customWidth="1"/>
    <col min="3" max="3" width="9.7109375" style="77" bestFit="1" customWidth="1"/>
    <col min="4" max="4" width="18.28515625" style="77" bestFit="1" customWidth="1"/>
    <col min="5" max="9" width="12.7109375" style="77" customWidth="1"/>
    <col min="10" max="10" width="24.42578125" style="77" bestFit="1" customWidth="1"/>
    <col min="11" max="11" width="22.42578125" style="77" bestFit="1" customWidth="1"/>
    <col min="12" max="16384" width="11.42578125" style="77"/>
  </cols>
  <sheetData>
    <row r="1" spans="1:14" ht="21" thickBot="1" x14ac:dyDescent="0.25">
      <c r="A1" s="20" t="s">
        <v>161</v>
      </c>
      <c r="B1" s="57"/>
      <c r="D1" s="57"/>
      <c r="E1" s="57"/>
      <c r="F1" s="57"/>
      <c r="G1" s="57"/>
      <c r="H1" s="57"/>
      <c r="I1" s="57"/>
      <c r="J1" s="78"/>
    </row>
    <row r="2" spans="1:14" ht="15" customHeight="1" thickTop="1" x14ac:dyDescent="0.2">
      <c r="B2" s="57"/>
      <c r="C2" s="57"/>
      <c r="D2" s="57"/>
      <c r="E2" s="57"/>
      <c r="F2" s="57"/>
      <c r="G2" s="57"/>
      <c r="H2" s="57"/>
      <c r="I2" s="57"/>
      <c r="J2" s="78"/>
    </row>
    <row r="3" spans="1:14" ht="20.25" x14ac:dyDescent="0.2">
      <c r="A3" s="110" t="str">
        <f>'2.04 Notice'!A18</f>
        <v>[4] Répartition des collégiens par établissement selon le mode d'hébergement à la rentrée 2023</v>
      </c>
      <c r="B3" s="57"/>
      <c r="C3" s="57"/>
      <c r="D3" s="57"/>
      <c r="E3" s="57"/>
      <c r="F3" s="57"/>
      <c r="G3" s="57"/>
      <c r="H3" s="57"/>
      <c r="I3" s="57"/>
      <c r="J3" s="78"/>
    </row>
    <row r="4" spans="1:14" ht="15" customHeight="1" x14ac:dyDescent="0.2">
      <c r="A4" s="79"/>
      <c r="B4" s="57"/>
      <c r="C4" s="57"/>
      <c r="D4" s="57"/>
      <c r="E4" s="57"/>
      <c r="F4" s="57"/>
      <c r="G4" s="57"/>
      <c r="H4" s="57"/>
      <c r="I4" s="57"/>
      <c r="J4" s="78"/>
    </row>
    <row r="5" spans="1:14" s="79" customFormat="1" ht="22.5" x14ac:dyDescent="0.2">
      <c r="A5" s="62" t="s">
        <v>57</v>
      </c>
      <c r="B5" s="62" t="s">
        <v>58</v>
      </c>
      <c r="C5" s="62" t="s">
        <v>34</v>
      </c>
      <c r="D5" s="62" t="s">
        <v>59</v>
      </c>
      <c r="E5" s="66" t="s">
        <v>151</v>
      </c>
      <c r="F5" s="66" t="s">
        <v>152</v>
      </c>
      <c r="G5" s="66" t="s">
        <v>153</v>
      </c>
      <c r="H5" s="66" t="s">
        <v>54</v>
      </c>
      <c r="I5" s="72" t="s">
        <v>155</v>
      </c>
      <c r="L5" s="79" t="s">
        <v>151</v>
      </c>
      <c r="M5" s="79" t="s">
        <v>152</v>
      </c>
      <c r="N5" s="79" t="s">
        <v>153</v>
      </c>
    </row>
    <row r="6" spans="1:14" s="79" customFormat="1" ht="15" customHeight="1" x14ac:dyDescent="0.2">
      <c r="A6" s="80" t="s">
        <v>60</v>
      </c>
      <c r="B6" s="80" t="s">
        <v>61</v>
      </c>
      <c r="C6" s="81" t="s">
        <v>36</v>
      </c>
      <c r="D6" s="82" t="s">
        <v>62</v>
      </c>
      <c r="E6" s="83">
        <v>285</v>
      </c>
      <c r="F6" s="83">
        <v>512</v>
      </c>
      <c r="G6" s="83">
        <v>0</v>
      </c>
      <c r="H6" s="83">
        <f>SUM(HebergementClg[[#This Row],[Effectifs Demi-pensionnaires]:[Effectifs Internes]])</f>
        <v>797</v>
      </c>
      <c r="I6" s="84">
        <f>HebergementClg[[#This Row],[Effectifs Demi-pensionnaires]]/HebergementClg[[#This Row],[Total]]</f>
        <v>0.3575909661229611</v>
      </c>
      <c r="K6" s="79" t="s">
        <v>60</v>
      </c>
      <c r="L6" s="85">
        <f>SUMIF(HebergementClg[Département],$K$6,HebergementClg[Effectifs Demi-pensionnaires])</f>
        <v>4264</v>
      </c>
      <c r="M6" s="85">
        <f>SUMIF(HebergementClg[Département],$K$6,HebergementClg[Effectifs Externes])</f>
        <v>2155</v>
      </c>
      <c r="N6" s="85">
        <f>SUMIF(HebergementClg[Département],$K$6,HebergementClg[Effectifs Internes])</f>
        <v>1</v>
      </c>
    </row>
    <row r="7" spans="1:14" s="79" customFormat="1" ht="15" customHeight="1" x14ac:dyDescent="0.2">
      <c r="A7" s="80" t="s">
        <v>60</v>
      </c>
      <c r="B7" s="80" t="s">
        <v>63</v>
      </c>
      <c r="C7" s="81" t="s">
        <v>36</v>
      </c>
      <c r="D7" s="82" t="s">
        <v>64</v>
      </c>
      <c r="E7" s="83">
        <v>201</v>
      </c>
      <c r="F7" s="83">
        <v>352</v>
      </c>
      <c r="G7" s="83">
        <v>0</v>
      </c>
      <c r="H7" s="83">
        <f>SUM(HebergementClg[[#This Row],[Effectifs Demi-pensionnaires]:[Effectifs Internes]])</f>
        <v>553</v>
      </c>
      <c r="I7" s="84">
        <f>HebergementClg[[#This Row],[Effectifs Demi-pensionnaires]]/HebergementClg[[#This Row],[Total]]</f>
        <v>0.36347197106690776</v>
      </c>
      <c r="K7" s="79" t="s">
        <v>91</v>
      </c>
      <c r="L7" s="85">
        <f>SUMIF(HebergementClg[Département],$K$7,HebergementClg[Effectifs Demi-pensionnaires])</f>
        <v>4747</v>
      </c>
      <c r="M7" s="85">
        <f>SUMIF(HebergementClg[Département],$K$7,HebergementClg[Effectifs Externes])</f>
        <v>2452</v>
      </c>
      <c r="N7" s="85">
        <f>SUMIF(HebergementClg[Département],$K$7,HebergementClg[Effectifs Internes])</f>
        <v>22</v>
      </c>
    </row>
    <row r="8" spans="1:14" s="79" customFormat="1" ht="15" customHeight="1" x14ac:dyDescent="0.2">
      <c r="A8" s="80" t="s">
        <v>60</v>
      </c>
      <c r="B8" s="80" t="s">
        <v>65</v>
      </c>
      <c r="C8" s="81" t="s">
        <v>36</v>
      </c>
      <c r="D8" s="82" t="s">
        <v>66</v>
      </c>
      <c r="E8" s="83">
        <v>248</v>
      </c>
      <c r="F8" s="83">
        <v>488</v>
      </c>
      <c r="G8" s="83">
        <v>0</v>
      </c>
      <c r="H8" s="83">
        <f>SUM(HebergementClg[[#This Row],[Effectifs Demi-pensionnaires]:[Effectifs Internes]])</f>
        <v>736</v>
      </c>
      <c r="I8" s="84">
        <f>HebergementClg[[#This Row],[Effectifs Demi-pensionnaires]]/HebergementClg[[#This Row],[Total]]</f>
        <v>0.33695652173913043</v>
      </c>
      <c r="L8" s="85">
        <f>SUM(L6:L7)</f>
        <v>9011</v>
      </c>
      <c r="M8" s="85">
        <f>SUM(M6:M7)</f>
        <v>4607</v>
      </c>
      <c r="N8" s="85">
        <f>SUM(N6:N7)</f>
        <v>23</v>
      </c>
    </row>
    <row r="9" spans="1:14" s="79" customFormat="1" ht="15" customHeight="1" x14ac:dyDescent="0.2">
      <c r="A9" s="80" t="s">
        <v>60</v>
      </c>
      <c r="B9" s="80" t="s">
        <v>67</v>
      </c>
      <c r="C9" s="81" t="s">
        <v>36</v>
      </c>
      <c r="D9" s="82" t="s">
        <v>68</v>
      </c>
      <c r="E9" s="83">
        <v>236</v>
      </c>
      <c r="F9" s="83">
        <v>25</v>
      </c>
      <c r="G9" s="83">
        <v>0</v>
      </c>
      <c r="H9" s="83">
        <f>SUM(HebergementClg[[#This Row],[Effectifs Demi-pensionnaires]:[Effectifs Internes]])</f>
        <v>261</v>
      </c>
      <c r="I9" s="84">
        <f>HebergementClg[[#This Row],[Effectifs Demi-pensionnaires]]/HebergementClg[[#This Row],[Total]]</f>
        <v>0.90421455938697315</v>
      </c>
    </row>
    <row r="10" spans="1:14" s="79" customFormat="1" ht="15" customHeight="1" x14ac:dyDescent="0.2">
      <c r="A10" s="80" t="s">
        <v>60</v>
      </c>
      <c r="B10" s="80" t="s">
        <v>69</v>
      </c>
      <c r="C10" s="81" t="s">
        <v>36</v>
      </c>
      <c r="D10" s="82" t="s">
        <v>70</v>
      </c>
      <c r="E10" s="83">
        <v>49</v>
      </c>
      <c r="F10" s="83">
        <v>5</v>
      </c>
      <c r="G10" s="83">
        <v>0</v>
      </c>
      <c r="H10" s="83">
        <f>SUM(HebergementClg[[#This Row],[Effectifs Demi-pensionnaires]:[Effectifs Internes]])</f>
        <v>54</v>
      </c>
      <c r="I10" s="84">
        <f>HebergementClg[[#This Row],[Effectifs Demi-pensionnaires]]/HebergementClg[[#This Row],[Total]]</f>
        <v>0.90740740740740744</v>
      </c>
    </row>
    <row r="11" spans="1:14" s="79" customFormat="1" ht="15" customHeight="1" x14ac:dyDescent="0.2">
      <c r="A11" s="80" t="s">
        <v>60</v>
      </c>
      <c r="B11" s="80" t="s">
        <v>71</v>
      </c>
      <c r="C11" s="81" t="s">
        <v>36</v>
      </c>
      <c r="D11" s="82" t="s">
        <v>72</v>
      </c>
      <c r="E11" s="83">
        <v>564</v>
      </c>
      <c r="F11" s="83">
        <v>117</v>
      </c>
      <c r="G11" s="83">
        <v>0</v>
      </c>
      <c r="H11" s="83">
        <f>SUM(HebergementClg[[#This Row],[Effectifs Demi-pensionnaires]:[Effectifs Internes]])</f>
        <v>681</v>
      </c>
      <c r="I11" s="84">
        <f>HebergementClg[[#This Row],[Effectifs Demi-pensionnaires]]/HebergementClg[[#This Row],[Total]]</f>
        <v>0.82819383259911894</v>
      </c>
    </row>
    <row r="12" spans="1:14" s="79" customFormat="1" ht="15" customHeight="1" x14ac:dyDescent="0.2">
      <c r="A12" s="80" t="s">
        <v>60</v>
      </c>
      <c r="B12" s="80" t="s">
        <v>73</v>
      </c>
      <c r="C12" s="81" t="s">
        <v>36</v>
      </c>
      <c r="D12" s="82" t="s">
        <v>74</v>
      </c>
      <c r="E12" s="83">
        <v>128</v>
      </c>
      <c r="F12" s="83">
        <v>135</v>
      </c>
      <c r="G12" s="83">
        <v>0</v>
      </c>
      <c r="H12" s="83">
        <f>SUM(HebergementClg[[#This Row],[Effectifs Demi-pensionnaires]:[Effectifs Internes]])</f>
        <v>263</v>
      </c>
      <c r="I12" s="84">
        <f>HebergementClg[[#This Row],[Effectifs Demi-pensionnaires]]/HebergementClg[[#This Row],[Total]]</f>
        <v>0.48669201520912547</v>
      </c>
    </row>
    <row r="13" spans="1:14" s="79" customFormat="1" ht="15" customHeight="1" x14ac:dyDescent="0.2">
      <c r="A13" s="80" t="s">
        <v>60</v>
      </c>
      <c r="B13" s="80" t="s">
        <v>75</v>
      </c>
      <c r="C13" s="81" t="s">
        <v>36</v>
      </c>
      <c r="D13" s="82" t="s">
        <v>76</v>
      </c>
      <c r="E13" s="83">
        <v>130</v>
      </c>
      <c r="F13" s="83">
        <v>19</v>
      </c>
      <c r="G13" s="83">
        <v>0</v>
      </c>
      <c r="H13" s="83">
        <f>SUM(HebergementClg[[#This Row],[Effectifs Demi-pensionnaires]:[Effectifs Internes]])</f>
        <v>149</v>
      </c>
      <c r="I13" s="84">
        <f>HebergementClg[[#This Row],[Effectifs Demi-pensionnaires]]/HebergementClg[[#This Row],[Total]]</f>
        <v>0.87248322147651003</v>
      </c>
    </row>
    <row r="14" spans="1:14" s="79" customFormat="1" ht="15" customHeight="1" x14ac:dyDescent="0.2">
      <c r="A14" s="80" t="s">
        <v>60</v>
      </c>
      <c r="B14" s="80" t="s">
        <v>77</v>
      </c>
      <c r="C14" s="81" t="s">
        <v>36</v>
      </c>
      <c r="D14" s="82" t="s">
        <v>78</v>
      </c>
      <c r="E14" s="83">
        <v>124</v>
      </c>
      <c r="F14" s="83">
        <v>15</v>
      </c>
      <c r="G14" s="83">
        <v>0</v>
      </c>
      <c r="H14" s="83">
        <f>SUM(HebergementClg[[#This Row],[Effectifs Demi-pensionnaires]:[Effectifs Internes]])</f>
        <v>139</v>
      </c>
      <c r="I14" s="84">
        <f>HebergementClg[[#This Row],[Effectifs Demi-pensionnaires]]/HebergementClg[[#This Row],[Total]]</f>
        <v>0.8920863309352518</v>
      </c>
    </row>
    <row r="15" spans="1:14" s="79" customFormat="1" ht="15" customHeight="1" x14ac:dyDescent="0.2">
      <c r="A15" s="80" t="s">
        <v>60</v>
      </c>
      <c r="B15" s="80" t="s">
        <v>79</v>
      </c>
      <c r="C15" s="81" t="s">
        <v>36</v>
      </c>
      <c r="D15" s="82" t="s">
        <v>80</v>
      </c>
      <c r="E15" s="83">
        <v>88</v>
      </c>
      <c r="F15" s="83">
        <v>73</v>
      </c>
      <c r="G15" s="83">
        <v>0</v>
      </c>
      <c r="H15" s="83">
        <f>SUM(HebergementClg[[#This Row],[Effectifs Demi-pensionnaires]:[Effectifs Internes]])</f>
        <v>161</v>
      </c>
      <c r="I15" s="84">
        <f>HebergementClg[[#This Row],[Effectifs Demi-pensionnaires]]/HebergementClg[[#This Row],[Total]]</f>
        <v>0.54658385093167705</v>
      </c>
    </row>
    <row r="16" spans="1:14" s="79" customFormat="1" ht="15" customHeight="1" x14ac:dyDescent="0.2">
      <c r="A16" s="80" t="s">
        <v>60</v>
      </c>
      <c r="B16" s="80" t="s">
        <v>81</v>
      </c>
      <c r="C16" s="81" t="s">
        <v>36</v>
      </c>
      <c r="D16" s="82" t="s">
        <v>82</v>
      </c>
      <c r="E16" s="83">
        <v>383</v>
      </c>
      <c r="F16" s="83">
        <v>17</v>
      </c>
      <c r="G16" s="83">
        <v>0</v>
      </c>
      <c r="H16" s="83">
        <f>SUM(HebergementClg[[#This Row],[Effectifs Demi-pensionnaires]:[Effectifs Internes]])</f>
        <v>400</v>
      </c>
      <c r="I16" s="84">
        <f>HebergementClg[[#This Row],[Effectifs Demi-pensionnaires]]/HebergementClg[[#This Row],[Total]]</f>
        <v>0.95750000000000002</v>
      </c>
    </row>
    <row r="17" spans="1:14" s="79" customFormat="1" ht="15" customHeight="1" x14ac:dyDescent="0.2">
      <c r="A17" s="80" t="s">
        <v>60</v>
      </c>
      <c r="B17" s="80" t="s">
        <v>83</v>
      </c>
      <c r="C17" s="81" t="s">
        <v>36</v>
      </c>
      <c r="D17" s="82" t="s">
        <v>84</v>
      </c>
      <c r="E17" s="83">
        <v>678</v>
      </c>
      <c r="F17" s="83">
        <v>90</v>
      </c>
      <c r="G17" s="83">
        <v>1</v>
      </c>
      <c r="H17" s="83">
        <f>SUM(HebergementClg[[#This Row],[Effectifs Demi-pensionnaires]:[Effectifs Internes]])</f>
        <v>769</v>
      </c>
      <c r="I17" s="84">
        <f>HebergementClg[[#This Row],[Effectifs Demi-pensionnaires]]/HebergementClg[[#This Row],[Total]]</f>
        <v>0.88166449934980495</v>
      </c>
    </row>
    <row r="18" spans="1:14" s="79" customFormat="1" ht="15" customHeight="1" x14ac:dyDescent="0.2">
      <c r="A18" s="80" t="s">
        <v>60</v>
      </c>
      <c r="B18" s="80" t="s">
        <v>85</v>
      </c>
      <c r="C18" s="81" t="s">
        <v>37</v>
      </c>
      <c r="D18" s="82" t="s">
        <v>86</v>
      </c>
      <c r="E18" s="86">
        <v>75</v>
      </c>
      <c r="F18" s="86">
        <v>204</v>
      </c>
      <c r="G18" s="86">
        <v>0</v>
      </c>
      <c r="H18" s="86">
        <f>SUM(HebergementClg[[#This Row],[Effectifs Demi-pensionnaires]:[Effectifs Internes]])</f>
        <v>279</v>
      </c>
      <c r="I18" s="87">
        <f>HebergementClg[[#This Row],[Effectifs Demi-pensionnaires]]/HebergementClg[[#This Row],[Total]]</f>
        <v>0.26881720430107525</v>
      </c>
      <c r="J18" s="80"/>
      <c r="L18" s="79" t="s">
        <v>151</v>
      </c>
      <c r="M18" s="79" t="s">
        <v>152</v>
      </c>
      <c r="N18" s="79" t="s">
        <v>153</v>
      </c>
    </row>
    <row r="19" spans="1:14" s="79" customFormat="1" ht="15" customHeight="1" x14ac:dyDescent="0.2">
      <c r="A19" s="80" t="s">
        <v>60</v>
      </c>
      <c r="B19" s="80" t="s">
        <v>87</v>
      </c>
      <c r="C19" s="81" t="s">
        <v>36</v>
      </c>
      <c r="D19" s="82" t="s">
        <v>88</v>
      </c>
      <c r="E19" s="86">
        <v>612</v>
      </c>
      <c r="F19" s="86">
        <v>39</v>
      </c>
      <c r="G19" s="86">
        <v>0</v>
      </c>
      <c r="H19" s="86">
        <f>SUM(HebergementClg[[#This Row],[Effectifs Demi-pensionnaires]:[Effectifs Internes]])</f>
        <v>651</v>
      </c>
      <c r="I19" s="87">
        <f>HebergementClg[[#This Row],[Effectifs Demi-pensionnaires]]/HebergementClg[[#This Row],[Total]]</f>
        <v>0.94009216589861755</v>
      </c>
      <c r="J19" s="80"/>
      <c r="K19" s="79" t="s">
        <v>36</v>
      </c>
      <c r="L19" s="85">
        <f>SUMIF(HebergementClg[Secteur],$K$19,HebergementClg[Effectifs Demi-pensionnaires])</f>
        <v>8684</v>
      </c>
      <c r="M19" s="85">
        <f>SUMIF(HebergementClg[Secteur],$K$19,HebergementClg[Effectifs Externes])</f>
        <v>4244</v>
      </c>
      <c r="N19" s="85">
        <f>SUMIF(HebergementClg[Secteur],$K$19,HebergementClg[Effectifs Internes])</f>
        <v>23</v>
      </c>
    </row>
    <row r="20" spans="1:14" s="79" customFormat="1" ht="15" customHeight="1" x14ac:dyDescent="0.2">
      <c r="A20" s="80" t="s">
        <v>60</v>
      </c>
      <c r="B20" s="80" t="s">
        <v>89</v>
      </c>
      <c r="C20" s="81" t="s">
        <v>36</v>
      </c>
      <c r="D20" s="82" t="s">
        <v>90</v>
      </c>
      <c r="E20" s="83">
        <v>463</v>
      </c>
      <c r="F20" s="83">
        <v>64</v>
      </c>
      <c r="G20" s="83">
        <v>0</v>
      </c>
      <c r="H20" s="83">
        <f>SUM(HebergementClg[[#This Row],[Effectifs Demi-pensionnaires]:[Effectifs Internes]])</f>
        <v>527</v>
      </c>
      <c r="I20" s="84">
        <f>HebergementClg[[#This Row],[Effectifs Demi-pensionnaires]]/HebergementClg[[#This Row],[Total]]</f>
        <v>0.87855787476280833</v>
      </c>
      <c r="K20" s="79" t="s">
        <v>37</v>
      </c>
      <c r="L20" s="85">
        <f>SUMIF(HebergementClg[Secteur],$K$20,HebergementClg[Effectifs Demi-pensionnaires])</f>
        <v>327</v>
      </c>
      <c r="M20" s="85">
        <f>SUMIF(HebergementClg[Secteur],$K$20,HebergementClg[Effectifs Externes])</f>
        <v>363</v>
      </c>
      <c r="N20" s="85">
        <f>SUMIF(HebergementClg[Secteur],$K$20,HebergementClg[Effectifs Internes])</f>
        <v>0</v>
      </c>
    </row>
    <row r="21" spans="1:14" s="79" customFormat="1" ht="15" customHeight="1" x14ac:dyDescent="0.2">
      <c r="A21" s="80" t="s">
        <v>91</v>
      </c>
      <c r="B21" s="80" t="s">
        <v>92</v>
      </c>
      <c r="C21" s="81" t="s">
        <v>36</v>
      </c>
      <c r="D21" s="82" t="s">
        <v>93</v>
      </c>
      <c r="E21" s="83">
        <v>159</v>
      </c>
      <c r="F21" s="83">
        <v>185</v>
      </c>
      <c r="G21" s="83">
        <v>22</v>
      </c>
      <c r="H21" s="83">
        <f>SUM(HebergementClg[[#This Row],[Effectifs Demi-pensionnaires]:[Effectifs Internes]])</f>
        <v>366</v>
      </c>
      <c r="I21" s="84">
        <f>HebergementClg[[#This Row],[Effectifs Demi-pensionnaires]]/HebergementClg[[#This Row],[Total]]</f>
        <v>0.4344262295081967</v>
      </c>
      <c r="L21" s="85">
        <f>SUM(L19:L20)</f>
        <v>9011</v>
      </c>
      <c r="M21" s="85">
        <f>SUM(M19:M20)</f>
        <v>4607</v>
      </c>
      <c r="N21" s="85">
        <f>SUM(N19:N20)</f>
        <v>23</v>
      </c>
    </row>
    <row r="22" spans="1:14" s="79" customFormat="1" ht="15" customHeight="1" x14ac:dyDescent="0.2">
      <c r="A22" s="80" t="s">
        <v>91</v>
      </c>
      <c r="B22" s="80" t="s">
        <v>94</v>
      </c>
      <c r="C22" s="81" t="s">
        <v>36</v>
      </c>
      <c r="D22" s="82" t="s">
        <v>95</v>
      </c>
      <c r="E22" s="83">
        <v>91</v>
      </c>
      <c r="F22" s="83">
        <v>177</v>
      </c>
      <c r="G22" s="83">
        <v>0</v>
      </c>
      <c r="H22" s="83">
        <f>SUM(HebergementClg[[#This Row],[Effectifs Demi-pensionnaires]:[Effectifs Internes]])</f>
        <v>268</v>
      </c>
      <c r="I22" s="84">
        <f>HebergementClg[[#This Row],[Effectifs Demi-pensionnaires]]/HebergementClg[[#This Row],[Total]]</f>
        <v>0.33955223880597013</v>
      </c>
    </row>
    <row r="23" spans="1:14" s="79" customFormat="1" ht="15" customHeight="1" x14ac:dyDescent="0.2">
      <c r="A23" s="80" t="s">
        <v>91</v>
      </c>
      <c r="B23" s="80" t="s">
        <v>96</v>
      </c>
      <c r="C23" s="81" t="s">
        <v>36</v>
      </c>
      <c r="D23" s="82" t="s">
        <v>97</v>
      </c>
      <c r="E23" s="83">
        <v>230</v>
      </c>
      <c r="F23" s="83">
        <v>479</v>
      </c>
      <c r="G23" s="83">
        <v>0</v>
      </c>
      <c r="H23" s="83">
        <f>SUM(HebergementClg[[#This Row],[Effectifs Demi-pensionnaires]:[Effectifs Internes]])</f>
        <v>709</v>
      </c>
      <c r="I23" s="84">
        <f>HebergementClg[[#This Row],[Effectifs Demi-pensionnaires]]/HebergementClg[[#This Row],[Total]]</f>
        <v>0.32440056417489421</v>
      </c>
    </row>
    <row r="24" spans="1:14" s="79" customFormat="1" ht="15" customHeight="1" x14ac:dyDescent="0.2">
      <c r="A24" s="80" t="s">
        <v>91</v>
      </c>
      <c r="B24" s="80" t="s">
        <v>98</v>
      </c>
      <c r="C24" s="81" t="s">
        <v>36</v>
      </c>
      <c r="D24" s="82" t="s">
        <v>99</v>
      </c>
      <c r="E24" s="83">
        <v>313</v>
      </c>
      <c r="F24" s="83">
        <v>163</v>
      </c>
      <c r="G24" s="83">
        <v>0</v>
      </c>
      <c r="H24" s="83">
        <f>SUM(HebergementClg[[#This Row],[Effectifs Demi-pensionnaires]:[Effectifs Internes]])</f>
        <v>476</v>
      </c>
      <c r="I24" s="84">
        <f>HebergementClg[[#This Row],[Effectifs Demi-pensionnaires]]/HebergementClg[[#This Row],[Total]]</f>
        <v>0.65756302521008403</v>
      </c>
    </row>
    <row r="25" spans="1:14" s="79" customFormat="1" ht="15" customHeight="1" x14ac:dyDescent="0.2">
      <c r="A25" s="80" t="s">
        <v>91</v>
      </c>
      <c r="B25" s="80" t="s">
        <v>100</v>
      </c>
      <c r="C25" s="81" t="s">
        <v>36</v>
      </c>
      <c r="D25" s="82" t="s">
        <v>101</v>
      </c>
      <c r="E25" s="83">
        <v>251</v>
      </c>
      <c r="F25" s="83">
        <v>82</v>
      </c>
      <c r="G25" s="83">
        <v>0</v>
      </c>
      <c r="H25" s="83">
        <f>SUM(HebergementClg[[#This Row],[Effectifs Demi-pensionnaires]:[Effectifs Internes]])</f>
        <v>333</v>
      </c>
      <c r="I25" s="84">
        <f>HebergementClg[[#This Row],[Effectifs Demi-pensionnaires]]/HebergementClg[[#This Row],[Total]]</f>
        <v>0.75375375375375375</v>
      </c>
    </row>
    <row r="26" spans="1:14" s="79" customFormat="1" ht="15" customHeight="1" x14ac:dyDescent="0.2">
      <c r="A26" s="80" t="s">
        <v>91</v>
      </c>
      <c r="B26" s="80" t="s">
        <v>102</v>
      </c>
      <c r="C26" s="81" t="s">
        <v>36</v>
      </c>
      <c r="D26" s="82" t="s">
        <v>93</v>
      </c>
      <c r="E26" s="83">
        <v>310</v>
      </c>
      <c r="F26" s="83">
        <v>168</v>
      </c>
      <c r="G26" s="83">
        <v>0</v>
      </c>
      <c r="H26" s="83">
        <f>SUM(HebergementClg[[#This Row],[Effectifs Demi-pensionnaires]:[Effectifs Internes]])</f>
        <v>478</v>
      </c>
      <c r="I26" s="84">
        <f>HebergementClg[[#This Row],[Effectifs Demi-pensionnaires]]/HebergementClg[[#This Row],[Total]]</f>
        <v>0.64853556485355646</v>
      </c>
    </row>
    <row r="27" spans="1:14" s="79" customFormat="1" ht="15" customHeight="1" x14ac:dyDescent="0.2">
      <c r="A27" s="80" t="s">
        <v>91</v>
      </c>
      <c r="B27" s="80" t="s">
        <v>103</v>
      </c>
      <c r="C27" s="81" t="s">
        <v>36</v>
      </c>
      <c r="D27" s="82" t="s">
        <v>104</v>
      </c>
      <c r="E27" s="83">
        <v>114</v>
      </c>
      <c r="F27" s="83">
        <v>6</v>
      </c>
      <c r="G27" s="83">
        <v>0</v>
      </c>
      <c r="H27" s="83">
        <f>SUM(HebergementClg[[#This Row],[Effectifs Demi-pensionnaires]:[Effectifs Internes]])</f>
        <v>120</v>
      </c>
      <c r="I27" s="84">
        <f>HebergementClg[[#This Row],[Effectifs Demi-pensionnaires]]/HebergementClg[[#This Row],[Total]]</f>
        <v>0.95</v>
      </c>
    </row>
    <row r="28" spans="1:14" s="79" customFormat="1" ht="15" customHeight="1" x14ac:dyDescent="0.2">
      <c r="A28" s="80" t="s">
        <v>91</v>
      </c>
      <c r="B28" s="80" t="s">
        <v>105</v>
      </c>
      <c r="C28" s="81" t="s">
        <v>36</v>
      </c>
      <c r="D28" s="82" t="s">
        <v>106</v>
      </c>
      <c r="E28" s="83">
        <v>122</v>
      </c>
      <c r="F28" s="83">
        <v>2</v>
      </c>
      <c r="G28" s="83">
        <v>0</v>
      </c>
      <c r="H28" s="83">
        <f>SUM(HebergementClg[[#This Row],[Effectifs Demi-pensionnaires]:[Effectifs Internes]])</f>
        <v>124</v>
      </c>
      <c r="I28" s="84">
        <f>HebergementClg[[#This Row],[Effectifs Demi-pensionnaires]]/HebergementClg[[#This Row],[Total]]</f>
        <v>0.9838709677419355</v>
      </c>
    </row>
    <row r="29" spans="1:14" s="79" customFormat="1" ht="15" customHeight="1" x14ac:dyDescent="0.2">
      <c r="A29" s="80" t="s">
        <v>91</v>
      </c>
      <c r="B29" s="80" t="s">
        <v>107</v>
      </c>
      <c r="C29" s="81" t="s">
        <v>36</v>
      </c>
      <c r="D29" s="82" t="s">
        <v>108</v>
      </c>
      <c r="E29" s="83">
        <v>201</v>
      </c>
      <c r="F29" s="83">
        <v>21</v>
      </c>
      <c r="G29" s="83">
        <v>0</v>
      </c>
      <c r="H29" s="83">
        <f>SUM(HebergementClg[[#This Row],[Effectifs Demi-pensionnaires]:[Effectifs Internes]])</f>
        <v>222</v>
      </c>
      <c r="I29" s="84">
        <f>HebergementClg[[#This Row],[Effectifs Demi-pensionnaires]]/HebergementClg[[#This Row],[Total]]</f>
        <v>0.90540540540540537</v>
      </c>
    </row>
    <row r="30" spans="1:14" s="79" customFormat="1" ht="15" customHeight="1" x14ac:dyDescent="0.2">
      <c r="A30" s="80" t="s">
        <v>91</v>
      </c>
      <c r="B30" s="80" t="s">
        <v>109</v>
      </c>
      <c r="C30" s="81" t="s">
        <v>36</v>
      </c>
      <c r="D30" s="82" t="s">
        <v>110</v>
      </c>
      <c r="E30" s="83">
        <v>562</v>
      </c>
      <c r="F30" s="83">
        <v>198</v>
      </c>
      <c r="G30" s="83">
        <v>0</v>
      </c>
      <c r="H30" s="83">
        <f>SUM(HebergementClg[[#This Row],[Effectifs Demi-pensionnaires]:[Effectifs Internes]])</f>
        <v>760</v>
      </c>
      <c r="I30" s="84">
        <f>HebergementClg[[#This Row],[Effectifs Demi-pensionnaires]]/HebergementClg[[#This Row],[Total]]</f>
        <v>0.73947368421052628</v>
      </c>
    </row>
    <row r="31" spans="1:14" s="79" customFormat="1" ht="15" customHeight="1" x14ac:dyDescent="0.2">
      <c r="A31" s="80" t="s">
        <v>91</v>
      </c>
      <c r="B31" s="80" t="s">
        <v>111</v>
      </c>
      <c r="C31" s="81" t="s">
        <v>36</v>
      </c>
      <c r="D31" s="82" t="s">
        <v>112</v>
      </c>
      <c r="E31" s="83">
        <v>711</v>
      </c>
      <c r="F31" s="83">
        <v>91</v>
      </c>
      <c r="G31" s="83">
        <v>0</v>
      </c>
      <c r="H31" s="83">
        <f>SUM(HebergementClg[[#This Row],[Effectifs Demi-pensionnaires]:[Effectifs Internes]])</f>
        <v>802</v>
      </c>
      <c r="I31" s="84">
        <f>HebergementClg[[#This Row],[Effectifs Demi-pensionnaires]]/HebergementClg[[#This Row],[Total]]</f>
        <v>0.88653366583541149</v>
      </c>
    </row>
    <row r="32" spans="1:14" s="79" customFormat="1" ht="15" customHeight="1" x14ac:dyDescent="0.2">
      <c r="A32" s="80" t="s">
        <v>91</v>
      </c>
      <c r="B32" s="80" t="s">
        <v>113</v>
      </c>
      <c r="C32" s="81" t="s">
        <v>37</v>
      </c>
      <c r="D32" s="82" t="s">
        <v>114</v>
      </c>
      <c r="E32" s="83">
        <v>252</v>
      </c>
      <c r="F32" s="83">
        <v>159</v>
      </c>
      <c r="G32" s="83">
        <v>0</v>
      </c>
      <c r="H32" s="83">
        <f>SUM(HebergementClg[[#This Row],[Effectifs Demi-pensionnaires]:[Effectifs Internes]])</f>
        <v>411</v>
      </c>
      <c r="I32" s="84">
        <f>HebergementClg[[#This Row],[Effectifs Demi-pensionnaires]]/HebergementClg[[#This Row],[Total]]</f>
        <v>0.61313868613138689</v>
      </c>
    </row>
    <row r="33" spans="1:11" s="79" customFormat="1" ht="15" customHeight="1" x14ac:dyDescent="0.2">
      <c r="A33" s="80" t="s">
        <v>91</v>
      </c>
      <c r="B33" s="80" t="s">
        <v>115</v>
      </c>
      <c r="C33" s="81" t="s">
        <v>36</v>
      </c>
      <c r="D33" s="82" t="s">
        <v>116</v>
      </c>
      <c r="E33" s="83">
        <v>438</v>
      </c>
      <c r="F33" s="83">
        <v>64</v>
      </c>
      <c r="G33" s="83">
        <v>0</v>
      </c>
      <c r="H33" s="83">
        <f>SUM(HebergementClg[[#This Row],[Effectifs Demi-pensionnaires]:[Effectifs Internes]])</f>
        <v>502</v>
      </c>
      <c r="I33" s="84">
        <f>HebergementClg[[#This Row],[Effectifs Demi-pensionnaires]]/HebergementClg[[#This Row],[Total]]</f>
        <v>0.87250996015936255</v>
      </c>
    </row>
    <row r="34" spans="1:11" s="79" customFormat="1" ht="15" customHeight="1" x14ac:dyDescent="0.2">
      <c r="A34" s="80" t="s">
        <v>91</v>
      </c>
      <c r="B34" s="80" t="s">
        <v>117</v>
      </c>
      <c r="C34" s="81" t="s">
        <v>36</v>
      </c>
      <c r="D34" s="82" t="s">
        <v>118</v>
      </c>
      <c r="E34" s="83">
        <v>237</v>
      </c>
      <c r="F34" s="83">
        <v>314</v>
      </c>
      <c r="G34" s="83">
        <v>0</v>
      </c>
      <c r="H34" s="83">
        <f>SUM(HebergementClg[[#This Row],[Effectifs Demi-pensionnaires]:[Effectifs Internes]])</f>
        <v>551</v>
      </c>
      <c r="I34" s="84">
        <f>HebergementClg[[#This Row],[Effectifs Demi-pensionnaires]]/HebergementClg[[#This Row],[Total]]</f>
        <v>0.43012704174228678</v>
      </c>
    </row>
    <row r="35" spans="1:11" s="79" customFormat="1" ht="15" customHeight="1" x14ac:dyDescent="0.2">
      <c r="A35" s="80" t="s">
        <v>91</v>
      </c>
      <c r="B35" s="80" t="s">
        <v>119</v>
      </c>
      <c r="C35" s="81" t="s">
        <v>36</v>
      </c>
      <c r="D35" s="82" t="s">
        <v>120</v>
      </c>
      <c r="E35" s="83">
        <v>223</v>
      </c>
      <c r="F35" s="83">
        <v>258</v>
      </c>
      <c r="G35" s="83">
        <v>0</v>
      </c>
      <c r="H35" s="83">
        <f>SUM(HebergementClg[[#This Row],[Effectifs Demi-pensionnaires]:[Effectifs Internes]])</f>
        <v>481</v>
      </c>
      <c r="I35" s="84">
        <f>HebergementClg[[#This Row],[Effectifs Demi-pensionnaires]]/HebergementClg[[#This Row],[Total]]</f>
        <v>0.46361746361746364</v>
      </c>
    </row>
    <row r="36" spans="1:11" s="79" customFormat="1" ht="15" customHeight="1" x14ac:dyDescent="0.2">
      <c r="A36" s="80" t="s">
        <v>91</v>
      </c>
      <c r="B36" s="80" t="s">
        <v>121</v>
      </c>
      <c r="C36" s="81" t="s">
        <v>36</v>
      </c>
      <c r="D36" s="82" t="s">
        <v>122</v>
      </c>
      <c r="E36" s="83">
        <v>533</v>
      </c>
      <c r="F36" s="83">
        <v>85</v>
      </c>
      <c r="G36" s="83">
        <v>0</v>
      </c>
      <c r="H36" s="83">
        <f>SUM(HebergementClg[[#This Row],[Effectifs Demi-pensionnaires]:[Effectifs Internes]])</f>
        <v>618</v>
      </c>
      <c r="I36" s="84">
        <f>HebergementClg[[#This Row],[Effectifs Demi-pensionnaires]]/HebergementClg[[#This Row],[Total]]</f>
        <v>0.86245954692556637</v>
      </c>
    </row>
    <row r="37" spans="1:11" s="79" customFormat="1" ht="11.25" x14ac:dyDescent="0.2">
      <c r="A37" s="111" t="s">
        <v>54</v>
      </c>
      <c r="B37" s="111"/>
      <c r="C37" s="112"/>
      <c r="D37" s="113"/>
      <c r="E37" s="114">
        <f>SUBTOTAL(109,HebergementClg[Effectifs Demi-pensionnaires])</f>
        <v>9011</v>
      </c>
      <c r="F37" s="114">
        <f>SUBTOTAL(109,HebergementClg[Effectifs Externes])</f>
        <v>4607</v>
      </c>
      <c r="G37" s="114">
        <f>SUBTOTAL(109,HebergementClg[Effectifs Internes])</f>
        <v>23</v>
      </c>
      <c r="H37" s="114">
        <f>SUBTOTAL(109,HebergementClg[Total])</f>
        <v>13641</v>
      </c>
      <c r="I37" s="115">
        <f>HebergementClg[[#Totals],[Effectifs Demi-pensionnaires]]/HebergementClg[[#Totals],[Total]]</f>
        <v>0.66058206876328718</v>
      </c>
      <c r="J37" s="80"/>
      <c r="K37" s="88"/>
    </row>
    <row r="38" spans="1:11" s="79" customFormat="1" ht="11.25" x14ac:dyDescent="0.2">
      <c r="A38" s="89" t="s">
        <v>162</v>
      </c>
      <c r="B38" s="80"/>
      <c r="C38" s="81"/>
      <c r="D38" s="82"/>
      <c r="E38" s="91">
        <f>HebergementClg[[#Totals],[Effectifs Demi-pensionnaires]]/HebergementClg[[#Totals],[Total]]</f>
        <v>0.66058206876328718</v>
      </c>
      <c r="F38" s="91">
        <f>HebergementClg[[#Totals],[Effectifs Externes]]/HebergementClg[[#Totals],[Total]]</f>
        <v>0.33773183784180044</v>
      </c>
      <c r="G38" s="91">
        <f>HebergementClg[[#Totals],[Effectifs Internes]]/HebergementClg[[#Totals],[Total]]</f>
        <v>1.6860933949123965E-3</v>
      </c>
      <c r="H38" s="80"/>
      <c r="I38" s="80"/>
      <c r="J38" s="80"/>
      <c r="K38" s="88"/>
    </row>
    <row r="39" spans="1:11" s="79" customFormat="1" ht="11.25" x14ac:dyDescent="0.2">
      <c r="B39" s="80"/>
      <c r="C39" s="81"/>
      <c r="D39" s="82"/>
      <c r="E39" s="80"/>
      <c r="F39" s="81"/>
      <c r="G39" s="82"/>
      <c r="H39" s="80"/>
      <c r="I39" s="80"/>
    </row>
    <row r="40" spans="1:11" s="79" customFormat="1" ht="11.25" x14ac:dyDescent="0.2">
      <c r="A40" s="79" t="s">
        <v>156</v>
      </c>
    </row>
    <row r="41" spans="1:11" s="79" customFormat="1" ht="11.25" x14ac:dyDescent="0.2">
      <c r="A41" s="79" t="s">
        <v>157</v>
      </c>
    </row>
    <row r="42" spans="1:11" x14ac:dyDescent="0.2">
      <c r="A42" s="79" t="s">
        <v>158</v>
      </c>
      <c r="B42" s="79"/>
      <c r="C42" s="79"/>
      <c r="D42" s="79"/>
      <c r="E42" s="79"/>
      <c r="F42" s="79"/>
      <c r="G42" s="79"/>
      <c r="H42" s="79"/>
      <c r="I42" s="79"/>
    </row>
    <row r="43" spans="1:11" x14ac:dyDescent="0.2">
      <c r="A43" s="79"/>
    </row>
  </sheetData>
  <conditionalFormatting sqref="I6:I36">
    <cfRule type="top10" dxfId="49" priority="1" bottom="1" rank="1"/>
    <cfRule type="top10" dxfId="48" priority="2" rank="1"/>
    <cfRule type="aboveAverage" dxfId="47" priority="3" aboveAverage="0"/>
  </conditionalFormatting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 xml:space="preserve">&amp;LL'académie de Corse en chiffres
Edition 2020
</oddHeader>
    <oddFooter>&amp;CRectorat de Corse
Division de la Prospective et des Statistiques Académiques&amp;R&amp;P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6"/>
  <sheetViews>
    <sheetView showGridLines="0" workbookViewId="0">
      <selection activeCell="O41" sqref="O41"/>
    </sheetView>
  </sheetViews>
  <sheetFormatPr baseColWidth="10" defaultRowHeight="12.75" x14ac:dyDescent="0.2"/>
  <cols>
    <col min="1" max="1" width="11.7109375" style="58" customWidth="1"/>
    <col min="2" max="2" width="8.42578125" style="58" bestFit="1" customWidth="1"/>
    <col min="3" max="3" width="7.140625" style="58" bestFit="1" customWidth="1"/>
    <col min="4" max="4" width="4.85546875" style="58" bestFit="1" customWidth="1"/>
    <col min="5" max="5" width="19" style="58" bestFit="1" customWidth="1"/>
    <col min="6" max="10" width="12.7109375" style="58" customWidth="1"/>
    <col min="11" max="11" width="24.42578125" style="58" bestFit="1" customWidth="1"/>
    <col min="12" max="12" width="15.7109375" style="58" customWidth="1"/>
    <col min="13" max="13" width="16.5703125" style="58" bestFit="1" customWidth="1"/>
    <col min="14" max="16384" width="11.42578125" style="58"/>
  </cols>
  <sheetData>
    <row r="1" spans="1:15" ht="17.25" thickBot="1" x14ac:dyDescent="0.25">
      <c r="A1" s="20" t="s">
        <v>161</v>
      </c>
    </row>
    <row r="2" spans="1:15" ht="13.5" thickTop="1" x14ac:dyDescent="0.2"/>
    <row r="3" spans="1:15" ht="15" x14ac:dyDescent="0.2">
      <c r="A3" s="110" t="str">
        <f>'2.04 Notice'!A19</f>
        <v>[5] Répartition des lycéens par établissement selon le mode d'hébergement à la rentrée 2023</v>
      </c>
    </row>
    <row r="4" spans="1:15" x14ac:dyDescent="0.2">
      <c r="A4" s="59"/>
    </row>
    <row r="5" spans="1:15" s="59" customFormat="1" ht="11.25" x14ac:dyDescent="0.2">
      <c r="A5" s="60"/>
    </row>
    <row r="6" spans="1:15" s="59" customFormat="1" ht="11.25" x14ac:dyDescent="0.2">
      <c r="A6" s="60"/>
    </row>
    <row r="7" spans="1:15" s="59" customFormat="1" ht="11.25" x14ac:dyDescent="0.2">
      <c r="B7" s="63"/>
      <c r="C7" s="61"/>
      <c r="D7" s="61"/>
      <c r="E7" s="63"/>
      <c r="F7" s="63"/>
      <c r="G7" s="63"/>
      <c r="H7" s="63"/>
      <c r="I7" s="63"/>
    </row>
    <row r="8" spans="1:15" s="65" customFormat="1" ht="22.5" x14ac:dyDescent="0.2">
      <c r="A8" s="64" t="s">
        <v>57</v>
      </c>
      <c r="B8" s="64" t="s">
        <v>58</v>
      </c>
      <c r="C8" s="64" t="s">
        <v>34</v>
      </c>
      <c r="D8" s="64" t="s">
        <v>123</v>
      </c>
      <c r="E8" s="64" t="s">
        <v>59</v>
      </c>
      <c r="F8" s="67" t="s">
        <v>151</v>
      </c>
      <c r="G8" s="67" t="s">
        <v>152</v>
      </c>
      <c r="H8" s="67" t="s">
        <v>153</v>
      </c>
      <c r="I8" s="67" t="s">
        <v>54</v>
      </c>
      <c r="J8" s="74" t="s">
        <v>155</v>
      </c>
      <c r="L8" s="59"/>
      <c r="M8" s="73" t="s">
        <v>151</v>
      </c>
      <c r="N8" s="73" t="s">
        <v>152</v>
      </c>
      <c r="O8" s="73" t="s">
        <v>153</v>
      </c>
    </row>
    <row r="9" spans="1:15" s="59" customFormat="1" ht="15" customHeight="1" x14ac:dyDescent="0.2">
      <c r="A9" s="107" t="s">
        <v>60</v>
      </c>
      <c r="B9" s="80" t="s">
        <v>124</v>
      </c>
      <c r="C9" s="81" t="s">
        <v>36</v>
      </c>
      <c r="D9" s="81" t="s">
        <v>53</v>
      </c>
      <c r="E9" s="80" t="s">
        <v>64</v>
      </c>
      <c r="F9" s="108">
        <v>225</v>
      </c>
      <c r="G9" s="108">
        <v>498</v>
      </c>
      <c r="H9" s="108">
        <v>3</v>
      </c>
      <c r="I9" s="108">
        <f>SUM(HébergementLycée[[#This Row],[Effectifs Demi-pensionnaires]:[Effectifs Internes]])</f>
        <v>726</v>
      </c>
      <c r="J9" s="109">
        <f>HébergementLycée[[#This Row],[Effectifs Demi-pensionnaires]]/HébergementLycée[[#This Row],[Total]]</f>
        <v>0.30991735537190085</v>
      </c>
      <c r="L9" s="59" t="s">
        <v>60</v>
      </c>
      <c r="M9" s="71">
        <f>SUMIF(HébergementLycée[Département],"Corse du sud",HébergementLycée[Effectifs Demi-pensionnaires])</f>
        <v>1621</v>
      </c>
      <c r="N9" s="71">
        <f>SUMIF(HébergementLycée[Département],"Corse du sud",HébergementLycée[Effectifs Externes])</f>
        <v>2519</v>
      </c>
      <c r="O9" s="71">
        <f>SUMIF(HébergementLycée[Département],"Corse du sud",HébergementLycée[Effectifs Internes])</f>
        <v>280</v>
      </c>
    </row>
    <row r="10" spans="1:15" s="59" customFormat="1" ht="15" customHeight="1" x14ac:dyDescent="0.2">
      <c r="A10" s="107" t="s">
        <v>60</v>
      </c>
      <c r="B10" s="80" t="s">
        <v>125</v>
      </c>
      <c r="C10" s="81" t="s">
        <v>36</v>
      </c>
      <c r="D10" s="81" t="s">
        <v>53</v>
      </c>
      <c r="E10" s="80" t="s">
        <v>66</v>
      </c>
      <c r="F10" s="108">
        <v>449</v>
      </c>
      <c r="G10" s="108">
        <v>879</v>
      </c>
      <c r="H10" s="108">
        <v>58</v>
      </c>
      <c r="I10" s="108">
        <f>SUM(HébergementLycée[[#This Row],[Effectifs Demi-pensionnaires]:[Effectifs Internes]])</f>
        <v>1386</v>
      </c>
      <c r="J10" s="109">
        <f>HébergementLycée[[#This Row],[Effectifs Demi-pensionnaires]]/HébergementLycée[[#This Row],[Total]]</f>
        <v>0.32395382395382394</v>
      </c>
      <c r="L10" s="59" t="s">
        <v>91</v>
      </c>
      <c r="M10" s="71">
        <f>SUMIF(HébergementLycée[Département],"Haute Corse",HébergementLycée[Effectifs Demi-pensionnaires])</f>
        <v>1569</v>
      </c>
      <c r="N10" s="71">
        <f>SUMIF(HébergementLycée[Département],"Haute Corse",HébergementLycée[Effectifs Externes])</f>
        <v>3105</v>
      </c>
      <c r="O10" s="71">
        <f>SUMIF(HébergementLycée[Département],"Haute Corse",HébergementLycée[Effectifs Internes])</f>
        <v>356</v>
      </c>
    </row>
    <row r="11" spans="1:15" s="59" customFormat="1" ht="15" customHeight="1" x14ac:dyDescent="0.2">
      <c r="A11" s="107" t="s">
        <v>60</v>
      </c>
      <c r="B11" s="80" t="s">
        <v>126</v>
      </c>
      <c r="C11" s="81" t="s">
        <v>36</v>
      </c>
      <c r="D11" s="81" t="s">
        <v>52</v>
      </c>
      <c r="E11" s="80" t="s">
        <v>127</v>
      </c>
      <c r="F11" s="108">
        <v>70</v>
      </c>
      <c r="G11" s="108">
        <v>254</v>
      </c>
      <c r="H11" s="108">
        <v>51</v>
      </c>
      <c r="I11" s="108">
        <f>SUM(HébergementLycée[[#This Row],[Effectifs Demi-pensionnaires]:[Effectifs Internes]])</f>
        <v>375</v>
      </c>
      <c r="J11" s="109">
        <f>HébergementLycée[[#This Row],[Effectifs Demi-pensionnaires]]/HébergementLycée[[#This Row],[Total]]</f>
        <v>0.18666666666666668</v>
      </c>
      <c r="M11" s="71">
        <f>SUM(M9:M10)</f>
        <v>3190</v>
      </c>
      <c r="N11" s="71">
        <f>SUM(N9:N10)</f>
        <v>5624</v>
      </c>
      <c r="O11" s="71">
        <f>SUM(O9:O10)</f>
        <v>636</v>
      </c>
    </row>
    <row r="12" spans="1:15" s="59" customFormat="1" ht="15" customHeight="1" x14ac:dyDescent="0.2">
      <c r="A12" s="107" t="s">
        <v>60</v>
      </c>
      <c r="B12" s="80" t="s">
        <v>128</v>
      </c>
      <c r="C12" s="81" t="s">
        <v>36</v>
      </c>
      <c r="D12" s="81" t="s">
        <v>52</v>
      </c>
      <c r="E12" s="80" t="s">
        <v>129</v>
      </c>
      <c r="F12" s="108">
        <v>125</v>
      </c>
      <c r="G12" s="108">
        <v>263</v>
      </c>
      <c r="H12" s="108">
        <v>61</v>
      </c>
      <c r="I12" s="108">
        <f>SUM(HébergementLycée[[#This Row],[Effectifs Demi-pensionnaires]:[Effectifs Internes]])</f>
        <v>449</v>
      </c>
      <c r="J12" s="109">
        <f>HébergementLycée[[#This Row],[Effectifs Demi-pensionnaires]]/HébergementLycée[[#This Row],[Total]]</f>
        <v>0.27839643652561247</v>
      </c>
    </row>
    <row r="13" spans="1:15" s="59" customFormat="1" ht="15" customHeight="1" x14ac:dyDescent="0.2">
      <c r="A13" s="107" t="s">
        <v>60</v>
      </c>
      <c r="B13" s="80" t="s">
        <v>130</v>
      </c>
      <c r="C13" s="81" t="s">
        <v>36</v>
      </c>
      <c r="D13" s="81" t="s">
        <v>131</v>
      </c>
      <c r="E13" s="80" t="s">
        <v>80</v>
      </c>
      <c r="F13" s="108">
        <f>5+137</f>
        <v>142</v>
      </c>
      <c r="G13" s="108">
        <f>9+74</f>
        <v>83</v>
      </c>
      <c r="H13" s="108">
        <f>11+29</f>
        <v>40</v>
      </c>
      <c r="I13" s="108">
        <f>SUM(HébergementLycée[[#This Row],[Effectifs Demi-pensionnaires]:[Effectifs Internes]])</f>
        <v>265</v>
      </c>
      <c r="J13" s="109">
        <f>HébergementLycée[[#This Row],[Effectifs Demi-pensionnaires]]/HébergementLycée[[#This Row],[Total]]</f>
        <v>0.53584905660377358</v>
      </c>
    </row>
    <row r="14" spans="1:15" s="59" customFormat="1" ht="15" customHeight="1" x14ac:dyDescent="0.2">
      <c r="A14" s="107" t="s">
        <v>60</v>
      </c>
      <c r="B14" s="80" t="s">
        <v>132</v>
      </c>
      <c r="C14" s="81" t="s">
        <v>36</v>
      </c>
      <c r="D14" s="81" t="s">
        <v>131</v>
      </c>
      <c r="E14" s="80" t="s">
        <v>133</v>
      </c>
      <c r="F14" s="108">
        <f>74+428</f>
        <v>502</v>
      </c>
      <c r="G14" s="108">
        <f>78+224</f>
        <v>302</v>
      </c>
      <c r="H14" s="108">
        <v>13</v>
      </c>
      <c r="I14" s="108">
        <f>SUM(HébergementLycée[[#This Row],[Effectifs Demi-pensionnaires]:[Effectifs Internes]])</f>
        <v>817</v>
      </c>
      <c r="J14" s="109">
        <f>HébergementLycée[[#This Row],[Effectifs Demi-pensionnaires]]/HébergementLycée[[#This Row],[Total]]</f>
        <v>0.61444308445532436</v>
      </c>
    </row>
    <row r="15" spans="1:15" s="59" customFormat="1" ht="15" customHeight="1" x14ac:dyDescent="0.2">
      <c r="A15" s="107" t="s">
        <v>60</v>
      </c>
      <c r="B15" s="80" t="s">
        <v>134</v>
      </c>
      <c r="C15" s="81" t="s">
        <v>36</v>
      </c>
      <c r="D15" s="81" t="s">
        <v>51</v>
      </c>
      <c r="E15" s="80" t="s">
        <v>51</v>
      </c>
      <c r="F15" s="108">
        <v>53</v>
      </c>
      <c r="G15" s="108">
        <v>1</v>
      </c>
      <c r="H15" s="108">
        <v>54</v>
      </c>
      <c r="I15" s="108">
        <f>SUM(HébergementLycée[[#This Row],[Effectifs Demi-pensionnaires]:[Effectifs Internes]])</f>
        <v>108</v>
      </c>
      <c r="J15" s="109">
        <f>HébergementLycée[[#This Row],[Effectifs Demi-pensionnaires]]/HébergementLycée[[#This Row],[Total]]</f>
        <v>0.49074074074074076</v>
      </c>
    </row>
    <row r="16" spans="1:15" s="59" customFormat="1" ht="15" customHeight="1" x14ac:dyDescent="0.2">
      <c r="A16" s="107" t="s">
        <v>60</v>
      </c>
      <c r="B16" s="80" t="s">
        <v>135</v>
      </c>
      <c r="C16" s="81" t="s">
        <v>37</v>
      </c>
      <c r="D16" s="81" t="s">
        <v>136</v>
      </c>
      <c r="E16" s="80" t="s">
        <v>137</v>
      </c>
      <c r="F16" s="108">
        <v>55</v>
      </c>
      <c r="G16" s="108">
        <v>239</v>
      </c>
      <c r="H16" s="108">
        <v>0</v>
      </c>
      <c r="I16" s="108">
        <f>SUM(HébergementLycée[[#This Row],[Effectifs Demi-pensionnaires]:[Effectifs Internes]])</f>
        <v>294</v>
      </c>
      <c r="J16" s="109">
        <f>HébergementLycée[[#This Row],[Effectifs Demi-pensionnaires]]/HébergementLycée[[#This Row],[Total]]</f>
        <v>0.1870748299319728</v>
      </c>
    </row>
    <row r="17" spans="1:15" s="59" customFormat="1" ht="15" customHeight="1" x14ac:dyDescent="0.2">
      <c r="A17" s="107" t="s">
        <v>91</v>
      </c>
      <c r="B17" s="80" t="s">
        <v>138</v>
      </c>
      <c r="C17" s="81" t="s">
        <v>36</v>
      </c>
      <c r="D17" s="81" t="s">
        <v>53</v>
      </c>
      <c r="E17" s="80" t="s">
        <v>139</v>
      </c>
      <c r="F17" s="108">
        <v>329</v>
      </c>
      <c r="G17" s="108">
        <v>913</v>
      </c>
      <c r="H17" s="108">
        <v>78</v>
      </c>
      <c r="I17" s="108">
        <f>SUM(HébergementLycée[[#This Row],[Effectifs Demi-pensionnaires]:[Effectifs Internes]])</f>
        <v>1320</v>
      </c>
      <c r="J17" s="109">
        <f>HébergementLycée[[#This Row],[Effectifs Demi-pensionnaires]]/HébergementLycée[[#This Row],[Total]]</f>
        <v>0.24924242424242424</v>
      </c>
      <c r="M17" s="73" t="s">
        <v>151</v>
      </c>
      <c r="N17" s="73" t="s">
        <v>152</v>
      </c>
      <c r="O17" s="73" t="s">
        <v>153</v>
      </c>
    </row>
    <row r="18" spans="1:15" s="59" customFormat="1" ht="15" customHeight="1" x14ac:dyDescent="0.2">
      <c r="A18" s="107" t="s">
        <v>91</v>
      </c>
      <c r="B18" s="80" t="s">
        <v>140</v>
      </c>
      <c r="C18" s="81" t="s">
        <v>36</v>
      </c>
      <c r="D18" s="81" t="s">
        <v>52</v>
      </c>
      <c r="E18" s="80" t="s">
        <v>141</v>
      </c>
      <c r="F18" s="108">
        <f>96+6</f>
        <v>102</v>
      </c>
      <c r="G18" s="108">
        <f>41+445</f>
        <v>486</v>
      </c>
      <c r="H18" s="108">
        <f>107+4</f>
        <v>111</v>
      </c>
      <c r="I18" s="108">
        <f>SUM(HébergementLycée[[#This Row],[Effectifs Demi-pensionnaires]:[Effectifs Internes]])</f>
        <v>699</v>
      </c>
      <c r="J18" s="109">
        <f>HébergementLycée[[#This Row],[Effectifs Demi-pensionnaires]]/HébergementLycée[[#This Row],[Total]]</f>
        <v>0.14592274678111589</v>
      </c>
      <c r="L18" s="59" t="s">
        <v>36</v>
      </c>
      <c r="M18" s="71">
        <f>SUMIF(HébergementLycée[Secteur],"Public",HébergementLycée[Effectifs Demi-pensionnaires])</f>
        <v>3021</v>
      </c>
      <c r="N18" s="71">
        <f>SUMIF(HébergementLycée[Secteur],"Public",HébergementLycée[Effectifs Externes])</f>
        <v>5202</v>
      </c>
      <c r="O18" s="71">
        <f>SUMIF(HébergementLycée[Secteur],"Public",HébergementLycée[Effectifs Internes])</f>
        <v>636</v>
      </c>
    </row>
    <row r="19" spans="1:15" s="59" customFormat="1" ht="15" customHeight="1" x14ac:dyDescent="0.2">
      <c r="A19" s="107" t="s">
        <v>91</v>
      </c>
      <c r="B19" s="80" t="s">
        <v>142</v>
      </c>
      <c r="C19" s="81" t="s">
        <v>36</v>
      </c>
      <c r="D19" s="81" t="s">
        <v>53</v>
      </c>
      <c r="E19" s="80" t="s">
        <v>93</v>
      </c>
      <c r="F19" s="108">
        <v>74</v>
      </c>
      <c r="G19" s="108">
        <v>172</v>
      </c>
      <c r="H19" s="108">
        <v>40</v>
      </c>
      <c r="I19" s="108">
        <f>SUM(HébergementLycée[[#This Row],[Effectifs Demi-pensionnaires]:[Effectifs Internes]])</f>
        <v>286</v>
      </c>
      <c r="J19" s="109">
        <f>HébergementLycée[[#This Row],[Effectifs Demi-pensionnaires]]/HébergementLycée[[#This Row],[Total]]</f>
        <v>0.25874125874125875</v>
      </c>
      <c r="L19" s="59" t="s">
        <v>37</v>
      </c>
      <c r="M19" s="71">
        <f>SUMIF(HébergementLycée[Secteur],"Privé",HébergementLycée[Effectifs Demi-pensionnaires])</f>
        <v>169</v>
      </c>
      <c r="N19" s="71">
        <f>SUMIF(HébergementLycée[Secteur],"Privé",HébergementLycée[Effectifs Externes])</f>
        <v>422</v>
      </c>
      <c r="O19" s="71">
        <f>SUMIF(HébergementLycée[Secteur],"Privé",HébergementLycée[Effectifs Internes])</f>
        <v>0</v>
      </c>
    </row>
    <row r="20" spans="1:15" s="59" customFormat="1" ht="15" customHeight="1" x14ac:dyDescent="0.2">
      <c r="A20" s="107" t="s">
        <v>91</v>
      </c>
      <c r="B20" s="80" t="s">
        <v>143</v>
      </c>
      <c r="C20" s="81" t="s">
        <v>37</v>
      </c>
      <c r="D20" s="81" t="s">
        <v>136</v>
      </c>
      <c r="E20" s="80" t="s">
        <v>114</v>
      </c>
      <c r="F20" s="108">
        <v>114</v>
      </c>
      <c r="G20" s="108">
        <v>183</v>
      </c>
      <c r="H20" s="108">
        <v>0</v>
      </c>
      <c r="I20" s="108">
        <f>SUM(HébergementLycée[[#This Row],[Effectifs Demi-pensionnaires]:[Effectifs Internes]])</f>
        <v>297</v>
      </c>
      <c r="J20" s="109">
        <f>HébergementLycée[[#This Row],[Effectifs Demi-pensionnaires]]/HébergementLycée[[#This Row],[Total]]</f>
        <v>0.38383838383838381</v>
      </c>
      <c r="M20" s="71">
        <f>SUM(M18:M19)</f>
        <v>3190</v>
      </c>
      <c r="N20" s="71">
        <f>SUM(N18:N19)</f>
        <v>5624</v>
      </c>
      <c r="O20" s="71">
        <f>SUM(O18:O19)</f>
        <v>636</v>
      </c>
    </row>
    <row r="21" spans="1:15" s="59" customFormat="1" ht="15" customHeight="1" x14ac:dyDescent="0.2">
      <c r="A21" s="107" t="s">
        <v>91</v>
      </c>
      <c r="B21" s="80" t="s">
        <v>144</v>
      </c>
      <c r="C21" s="81" t="s">
        <v>36</v>
      </c>
      <c r="D21" s="81" t="s">
        <v>52</v>
      </c>
      <c r="E21" s="80" t="s">
        <v>74</v>
      </c>
      <c r="F21" s="108">
        <v>59</v>
      </c>
      <c r="G21" s="108">
        <v>221</v>
      </c>
      <c r="H21" s="108">
        <v>68</v>
      </c>
      <c r="I21" s="108">
        <f>SUM(HébergementLycée[[#This Row],[Effectifs Demi-pensionnaires]:[Effectifs Internes]])</f>
        <v>348</v>
      </c>
      <c r="J21" s="109">
        <f>HébergementLycée[[#This Row],[Effectifs Demi-pensionnaires]]/HébergementLycée[[#This Row],[Total]]</f>
        <v>0.16954022988505746</v>
      </c>
    </row>
    <row r="22" spans="1:15" s="59" customFormat="1" ht="15" customHeight="1" x14ac:dyDescent="0.2">
      <c r="A22" s="107" t="s">
        <v>91</v>
      </c>
      <c r="B22" s="80" t="s">
        <v>145</v>
      </c>
      <c r="C22" s="81" t="s">
        <v>36</v>
      </c>
      <c r="D22" s="81" t="s">
        <v>131</v>
      </c>
      <c r="E22" s="80" t="s">
        <v>146</v>
      </c>
      <c r="F22" s="108">
        <f>41+234</f>
        <v>275</v>
      </c>
      <c r="G22" s="108">
        <f>97+26</f>
        <v>123</v>
      </c>
      <c r="H22" s="108">
        <v>16</v>
      </c>
      <c r="I22" s="108">
        <f>SUM(HébergementLycée[[#This Row],[Effectifs Demi-pensionnaires]:[Effectifs Internes]])</f>
        <v>414</v>
      </c>
      <c r="J22" s="109">
        <f>HébergementLycée[[#This Row],[Effectifs Demi-pensionnaires]]/HébergementLycée[[#This Row],[Total]]</f>
        <v>0.66425120772946855</v>
      </c>
    </row>
    <row r="23" spans="1:15" s="59" customFormat="1" ht="15" customHeight="1" x14ac:dyDescent="0.2">
      <c r="A23" s="107" t="s">
        <v>91</v>
      </c>
      <c r="B23" s="80" t="s">
        <v>147</v>
      </c>
      <c r="C23" s="81" t="s">
        <v>36</v>
      </c>
      <c r="D23" s="81" t="s">
        <v>53</v>
      </c>
      <c r="E23" s="80" t="s">
        <v>148</v>
      </c>
      <c r="F23" s="108">
        <v>298</v>
      </c>
      <c r="G23" s="108">
        <v>930</v>
      </c>
      <c r="H23" s="108">
        <v>43</v>
      </c>
      <c r="I23" s="108">
        <f>SUM(HébergementLycée[[#This Row],[Effectifs Demi-pensionnaires]:[Effectifs Internes]])</f>
        <v>1271</v>
      </c>
      <c r="J23" s="109">
        <f>HébergementLycée[[#This Row],[Effectifs Demi-pensionnaires]]/HébergementLycée[[#This Row],[Total]]</f>
        <v>0.23446105428796224</v>
      </c>
    </row>
    <row r="24" spans="1:15" s="59" customFormat="1" ht="15" customHeight="1" x14ac:dyDescent="0.2">
      <c r="A24" s="107" t="s">
        <v>91</v>
      </c>
      <c r="B24" s="80" t="s">
        <v>149</v>
      </c>
      <c r="C24" s="81" t="s">
        <v>36</v>
      </c>
      <c r="D24" s="81" t="s">
        <v>131</v>
      </c>
      <c r="E24" s="80" t="s">
        <v>150</v>
      </c>
      <c r="F24" s="108">
        <f>15+303</f>
        <v>318</v>
      </c>
      <c r="G24" s="108">
        <f>72+5</f>
        <v>77</v>
      </c>
      <c r="H24" s="108">
        <v>0</v>
      </c>
      <c r="I24" s="108">
        <f>SUM(HébergementLycée[[#This Row],[Effectifs Demi-pensionnaires]:[Effectifs Internes]])</f>
        <v>395</v>
      </c>
      <c r="J24" s="109">
        <f>HébergementLycée[[#This Row],[Effectifs Demi-pensionnaires]]/HébergementLycée[[#This Row],[Total]]</f>
        <v>0.80506329113924047</v>
      </c>
    </row>
    <row r="25" spans="1:15" s="59" customFormat="1" ht="11.25" x14ac:dyDescent="0.2">
      <c r="A25" s="68" t="s">
        <v>54</v>
      </c>
      <c r="B25" s="68"/>
      <c r="C25" s="69"/>
      <c r="D25" s="69"/>
      <c r="E25" s="68"/>
      <c r="F25" s="70">
        <f>SUBTOTAL(109,HébergementLycée[Effectifs Demi-pensionnaires])</f>
        <v>3190</v>
      </c>
      <c r="G25" s="70">
        <f>SUBTOTAL(109,HébergementLycée[Effectifs Externes])</f>
        <v>5624</v>
      </c>
      <c r="H25" s="70">
        <f>SUBTOTAL(109,HébergementLycée[Effectifs Internes])</f>
        <v>636</v>
      </c>
      <c r="I25" s="70">
        <f>SUBTOTAL(109,HébergementLycée[Total])</f>
        <v>9450</v>
      </c>
      <c r="J25" s="75">
        <f>HébergementLycée[[#Totals],[Effectifs Demi-pensionnaires]]/HébergementLycée[[#Totals],[Total]]</f>
        <v>0.33756613756613757</v>
      </c>
    </row>
    <row r="26" spans="1:15" s="59" customFormat="1" ht="11.25" x14ac:dyDescent="0.2">
      <c r="A26" s="59" t="s">
        <v>162</v>
      </c>
      <c r="F26" s="90">
        <f>HébergementLycée[[#Totals],[Effectifs Demi-pensionnaires]]/HébergementLycée[[#Totals],[Total]]</f>
        <v>0.33756613756613757</v>
      </c>
      <c r="G26" s="90">
        <f>HébergementLycée[[#Totals],[Effectifs Externes]]/HébergementLycée[[#Totals],[Total]]</f>
        <v>0.59513227513227518</v>
      </c>
      <c r="H26" s="90">
        <f>HébergementLycée[[#Totals],[Effectifs Internes]]/HébergementLycée[[#Totals],[Total]]</f>
        <v>6.7301587301587307E-2</v>
      </c>
    </row>
    <row r="27" spans="1:15" s="59" customFormat="1" ht="11.25" x14ac:dyDescent="0.2"/>
    <row r="28" spans="1:15" s="59" customFormat="1" ht="11.25" x14ac:dyDescent="0.2">
      <c r="A28" s="59" t="s">
        <v>154</v>
      </c>
    </row>
    <row r="29" spans="1:15" s="59" customFormat="1" ht="11.25" x14ac:dyDescent="0.2"/>
    <row r="30" spans="1:15" s="59" customFormat="1" ht="11.25" x14ac:dyDescent="0.2">
      <c r="A30" s="59" t="s">
        <v>156</v>
      </c>
    </row>
    <row r="31" spans="1:15" s="59" customFormat="1" ht="11.25" x14ac:dyDescent="0.2">
      <c r="A31" s="59" t="s">
        <v>157</v>
      </c>
    </row>
    <row r="32" spans="1:15" s="59" customFormat="1" ht="11.25" x14ac:dyDescent="0.2">
      <c r="A32" s="59" t="s">
        <v>158</v>
      </c>
    </row>
    <row r="33" spans="6:11" s="59" customFormat="1" ht="11.25" x14ac:dyDescent="0.2"/>
    <row r="34" spans="6:11" s="59" customFormat="1" ht="11.25" x14ac:dyDescent="0.2"/>
    <row r="35" spans="6:11" s="59" customFormat="1" ht="11.25" x14ac:dyDescent="0.2"/>
    <row r="36" spans="6:11" s="59" customFormat="1" ht="11.25" x14ac:dyDescent="0.2"/>
    <row r="37" spans="6:11" s="59" customFormat="1" ht="11.25" x14ac:dyDescent="0.2"/>
    <row r="38" spans="6:11" s="59" customFormat="1" ht="11.25" x14ac:dyDescent="0.2"/>
    <row r="39" spans="6:11" s="59" customFormat="1" ht="11.25" x14ac:dyDescent="0.2"/>
    <row r="40" spans="6:11" s="59" customFormat="1" ht="11.25" x14ac:dyDescent="0.2"/>
    <row r="41" spans="6:11" s="59" customFormat="1" ht="11.25" x14ac:dyDescent="0.2"/>
    <row r="42" spans="6:11" s="59" customFormat="1" ht="11.25" x14ac:dyDescent="0.2"/>
    <row r="43" spans="6:11" s="59" customFormat="1" ht="11.25" x14ac:dyDescent="0.2"/>
    <row r="44" spans="6:11" x14ac:dyDescent="0.2">
      <c r="F44" s="59"/>
      <c r="G44" s="59"/>
      <c r="H44" s="59"/>
      <c r="I44" s="59"/>
      <c r="J44" s="59"/>
      <c r="K44" s="59"/>
    </row>
    <row r="45" spans="6:11" x14ac:dyDescent="0.2">
      <c r="F45" s="59"/>
      <c r="G45" s="59"/>
      <c r="H45" s="59"/>
      <c r="I45" s="59"/>
      <c r="J45" s="59"/>
      <c r="K45" s="59"/>
    </row>
    <row r="46" spans="6:11" x14ac:dyDescent="0.2">
      <c r="F46" s="59"/>
      <c r="G46" s="59"/>
      <c r="H46" s="59"/>
      <c r="I46" s="59"/>
    </row>
  </sheetData>
  <conditionalFormatting sqref="J9:J24">
    <cfRule type="top10" dxfId="25" priority="1" bottom="1" rank="1"/>
    <cfRule type="aboveAverage" dxfId="24" priority="2" aboveAverage="0"/>
    <cfRule type="top10" dxfId="23" priority="3" bottom="1" rank="1"/>
    <cfRule type="top10" dxfId="22" priority="4" rank="1"/>
  </conditionalFormatting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Header xml:space="preserve">&amp;LL'académie de Corse en chiffres
Edition 2020
</oddHeader>
    <oddFooter>&amp;CRectorat de Corse
Division de la Prospective et des Statistiques Académiques&amp;R&amp;P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yracuseOfficeCustomData>{"createMode":"plain_doc","forceRefresh":"0"}</SyracuseOfficeCustomData>
</file>

<file path=customXml/item2.xml>��< ? x m l   v e r s i o n = " 1 . 0 "   e n c o d i n g = " u t f - 1 6 " ? > < D a t a M a s h u p   s q m i d = " c 1 c 6 9 9 e 6 - 1 f f 9 - 4 8 2 7 - a e 7 2 - b 7 4 8 b 2 5 1 4 0 6 3 "   x m l n s = " h t t p : / / s c h e m a s . m i c r o s o f t . c o m / D a t a M a s h u p " > A A A A A B g D A A B Q S w M E F A A C A A g A K W U 8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l l P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T x V K I p H u A 4 A A A A R A A A A E w A c A E Z v c m 1 1 b G F z L 1 N l Y 3 R p b 2 4 x L m 0 g o h g A K K A U A A A A A A A A A A A A A A A A A A A A A A A A A A A A K 0 5 N L s n M z 1 M I h t C G 1 g B Q S w E C L Q A U A A I A C A A p Z T x V l S W 5 p 6 g A A A D 5 A A A A E g A A A A A A A A A A A A A A A A A A A A A A Q 2 9 u Z m l n L 1 B h Y 2 t h Z 2 U u e G 1 s U E s B A i 0 A F A A C A A g A K W U 8 V Q / K 6 a u k A A A A 6 Q A A A B M A A A A A A A A A A A A A A A A A 9 A A A A F t D b 2 5 0 Z W 5 0 X 1 R 5 c G V z X S 5 4 b W x Q S w E C L Q A U A A I A C A A p Z T x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g M B 1 I 4 N A 0 u C s Y E x K Q u z m Q A A A A A C A A A A A A A D Z g A A w A A A A B A A A A C 4 b l p p s 2 n n Y H f 6 H H U r m k p 1 A A A A A A S A A A C g A A A A E A A A A H F f b D B J 1 Q Y 1 Y / 8 5 I 9 y s 3 E d Q A A A A e P Z a O r t 2 W + X A 7 c 2 F + M u L Y Q B x c 6 S K u 1 E 1 v e 6 Y 2 c N C 9 U u / E L 2 E N P g d y E c s M H F p h 9 d h c y c v K z k X N U T u 3 o U l p P H m m Z 4 t C b D F f o K b B l R c j s Y y N o k U A A A A + W G f B F 9 5 5 p q A 9 P 8 s 5 H u v L P o H p h E = < / D a t a M a s h u p > 
</file>

<file path=customXml/itemProps1.xml><?xml version="1.0" encoding="utf-8"?>
<ds:datastoreItem xmlns:ds="http://schemas.openxmlformats.org/officeDocument/2006/customXml" ds:itemID="{2E6075BA-1A90-42EA-A370-DD1A247498A8}">
  <ds:schemaRefs/>
</ds:datastoreItem>
</file>

<file path=customXml/itemProps2.xml><?xml version="1.0" encoding="utf-8"?>
<ds:datastoreItem xmlns:ds="http://schemas.openxmlformats.org/officeDocument/2006/customXml" ds:itemID="{E8B1CF49-0A2E-4F40-BE2F-CFB66C86EB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2.04 Notice</vt:lpstr>
      <vt:lpstr>2.04 Graph 1</vt:lpstr>
      <vt:lpstr>2.04 Tableau 2</vt:lpstr>
      <vt:lpstr>2.04 Tableau 3</vt:lpstr>
      <vt:lpstr>2.04 Tableau 4</vt:lpstr>
      <vt:lpstr>2.04 Tableau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Stéphanie MANAC-H</cp:lastModifiedBy>
  <dcterms:created xsi:type="dcterms:W3CDTF">2022-06-08T12:40:59Z</dcterms:created>
  <dcterms:modified xsi:type="dcterms:W3CDTF">2024-01-11T07:07:46Z</dcterms:modified>
</cp:coreProperties>
</file>