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"/>
    </mc:Choice>
  </mc:AlternateContent>
  <bookViews>
    <workbookView xWindow="0" yWindow="0" windowWidth="28800" windowHeight="12045" tabRatio="741" firstSheet="2" activeTab="5"/>
  </bookViews>
  <sheets>
    <sheet name="2.04 Notice" sheetId="7" r:id="rId1"/>
    <sheet name="2.04 Graph 1" sheetId="11" r:id="rId2"/>
    <sheet name="2.04 Tableau 2" sheetId="8" r:id="rId3"/>
    <sheet name="2.04 Tableau 3" sheetId="12" r:id="rId4"/>
    <sheet name="2.04 Tableau 4" sheetId="13" r:id="rId5"/>
    <sheet name="2.04 Tableau 5" sheetId="14" r:id="rId6"/>
  </sheets>
  <externalReferences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4" l="1"/>
  <c r="F13" i="12"/>
  <c r="D13" i="12"/>
  <c r="C13" i="12"/>
  <c r="F12" i="12"/>
  <c r="D12" i="12"/>
  <c r="C12" i="12"/>
  <c r="F11" i="12"/>
  <c r="D11" i="12"/>
  <c r="C11" i="12"/>
  <c r="G8" i="12"/>
  <c r="F8" i="12"/>
  <c r="E8" i="12"/>
  <c r="D8" i="12"/>
  <c r="C8" i="12"/>
  <c r="G7" i="12"/>
  <c r="F7" i="12"/>
  <c r="E7" i="12"/>
  <c r="D7" i="12"/>
  <c r="C7" i="12"/>
  <c r="G6" i="12"/>
  <c r="F6" i="12"/>
  <c r="E6" i="12"/>
  <c r="D6" i="12"/>
  <c r="C6" i="12"/>
  <c r="J15" i="8"/>
  <c r="J16" i="8"/>
  <c r="J17" i="8"/>
  <c r="J14" i="8"/>
  <c r="J11" i="8"/>
  <c r="J12" i="8"/>
  <c r="J13" i="8"/>
  <c r="J10" i="8"/>
  <c r="J7" i="8"/>
  <c r="J8" i="8"/>
  <c r="J9" i="8"/>
  <c r="J6" i="8"/>
  <c r="H6" i="8"/>
  <c r="I13" i="8"/>
  <c r="I17" i="8" s="1"/>
  <c r="I15" i="8"/>
  <c r="I16" i="8"/>
  <c r="I14" i="8"/>
  <c r="I9" i="8"/>
  <c r="E15" i="8" l="1"/>
  <c r="E14" i="8"/>
  <c r="E9" i="8"/>
  <c r="G10" i="8" l="1"/>
  <c r="G15" i="12"/>
  <c r="H25" i="14" l="1"/>
  <c r="H28" i="14" s="1"/>
  <c r="G25" i="14"/>
  <c r="G28" i="14" s="1"/>
  <c r="F25" i="14"/>
  <c r="F28" i="14" s="1"/>
  <c r="G13" i="8" l="1"/>
  <c r="H10" i="8" s="1"/>
  <c r="H11" i="8"/>
  <c r="F9" i="12" l="1"/>
  <c r="H13" i="8"/>
  <c r="E12" i="8"/>
  <c r="E16" i="8" l="1"/>
  <c r="E13" i="8"/>
  <c r="O19" i="14"/>
  <c r="O18" i="14"/>
  <c r="N19" i="14"/>
  <c r="N18" i="14"/>
  <c r="M19" i="14"/>
  <c r="M18" i="14"/>
  <c r="O9" i="14"/>
  <c r="N9" i="14"/>
  <c r="M9" i="14"/>
  <c r="O10" i="14"/>
  <c r="N10" i="14"/>
  <c r="M10" i="14"/>
  <c r="O20" i="14" l="1"/>
  <c r="N20" i="14"/>
  <c r="M20" i="14"/>
  <c r="O11" i="14"/>
  <c r="N11" i="14"/>
  <c r="M11" i="14"/>
  <c r="A3" i="14"/>
  <c r="N20" i="13"/>
  <c r="N19" i="13"/>
  <c r="N7" i="13"/>
  <c r="N6" i="13"/>
  <c r="M20" i="13"/>
  <c r="M19" i="13"/>
  <c r="L20" i="13"/>
  <c r="L19" i="13"/>
  <c r="A3" i="13"/>
  <c r="N21" i="13" l="1"/>
  <c r="M21" i="13"/>
  <c r="L21" i="13"/>
  <c r="M7" i="13" l="1"/>
  <c r="M6" i="13"/>
  <c r="L7" i="13"/>
  <c r="L6" i="13"/>
  <c r="E37" i="13"/>
  <c r="E40" i="13" s="1"/>
  <c r="F37" i="13"/>
  <c r="F40" i="13" s="1"/>
  <c r="G37" i="13"/>
  <c r="I9" i="14"/>
  <c r="I10" i="14"/>
  <c r="J10" i="14" s="1"/>
  <c r="I11" i="14"/>
  <c r="I12" i="14"/>
  <c r="J12" i="14" s="1"/>
  <c r="I13" i="14"/>
  <c r="J13" i="14" s="1"/>
  <c r="I14" i="14"/>
  <c r="J14" i="14" s="1"/>
  <c r="I15" i="14"/>
  <c r="I16" i="14"/>
  <c r="J16" i="14" s="1"/>
  <c r="I17" i="14"/>
  <c r="J17" i="14" s="1"/>
  <c r="I18" i="14"/>
  <c r="J18" i="14" s="1"/>
  <c r="I19" i="14"/>
  <c r="J19" i="14" s="1"/>
  <c r="I20" i="14"/>
  <c r="J20" i="14" s="1"/>
  <c r="I21" i="14"/>
  <c r="J21" i="14" s="1"/>
  <c r="I22" i="14"/>
  <c r="J22" i="14" s="1"/>
  <c r="I23" i="14"/>
  <c r="I24" i="14"/>
  <c r="J24" i="14" s="1"/>
  <c r="G16" i="8" l="1"/>
  <c r="G40" i="13"/>
  <c r="G15" i="8"/>
  <c r="J23" i="14"/>
  <c r="I25" i="14"/>
  <c r="I28" i="14" s="1"/>
  <c r="J9" i="14"/>
  <c r="J15" i="14"/>
  <c r="J11" i="14"/>
  <c r="L8" i="13"/>
  <c r="M8" i="13"/>
  <c r="G14" i="8" l="1"/>
  <c r="G17" i="8" s="1"/>
  <c r="G9" i="8"/>
  <c r="H29" i="14"/>
  <c r="F29" i="14"/>
  <c r="G29" i="14"/>
  <c r="G26" i="14"/>
  <c r="H26" i="14"/>
  <c r="J25" i="14"/>
  <c r="F26" i="14"/>
  <c r="N8" i="13"/>
  <c r="H8" i="8" l="1"/>
  <c r="H7" i="8"/>
  <c r="H16" i="8"/>
  <c r="H15" i="8"/>
  <c r="H14" i="8"/>
  <c r="H6" i="13"/>
  <c r="H7" i="13"/>
  <c r="I7" i="13" s="1"/>
  <c r="H8" i="13"/>
  <c r="I8" i="13" s="1"/>
  <c r="H9" i="13"/>
  <c r="I9" i="13" s="1"/>
  <c r="H10" i="13"/>
  <c r="I10" i="13" s="1"/>
  <c r="H11" i="13"/>
  <c r="I11" i="13" s="1"/>
  <c r="H12" i="13"/>
  <c r="I12" i="13" s="1"/>
  <c r="H13" i="13"/>
  <c r="I13" i="13" s="1"/>
  <c r="H14" i="13"/>
  <c r="I14" i="13" s="1"/>
  <c r="H15" i="13"/>
  <c r="I15" i="13" s="1"/>
  <c r="H16" i="13"/>
  <c r="I16" i="13" s="1"/>
  <c r="H17" i="13"/>
  <c r="I17" i="13" s="1"/>
  <c r="H18" i="13"/>
  <c r="H19" i="13"/>
  <c r="I19" i="13" s="1"/>
  <c r="H20" i="13"/>
  <c r="I20" i="13" s="1"/>
  <c r="H21" i="13"/>
  <c r="I21" i="13" s="1"/>
  <c r="H22" i="13"/>
  <c r="I22" i="13" s="1"/>
  <c r="H23" i="13"/>
  <c r="I23" i="13" s="1"/>
  <c r="H24" i="13"/>
  <c r="I24" i="13" s="1"/>
  <c r="H25" i="13"/>
  <c r="I25" i="13" s="1"/>
  <c r="H26" i="13"/>
  <c r="I26" i="13" s="1"/>
  <c r="H27" i="13"/>
  <c r="I27" i="13" s="1"/>
  <c r="H28" i="13"/>
  <c r="I28" i="13" s="1"/>
  <c r="H29" i="13"/>
  <c r="I29" i="13" s="1"/>
  <c r="H30" i="13"/>
  <c r="I30" i="13" s="1"/>
  <c r="H31" i="13"/>
  <c r="I31" i="13" s="1"/>
  <c r="H32" i="13"/>
  <c r="I32" i="13" s="1"/>
  <c r="H33" i="13"/>
  <c r="I33" i="13" s="1"/>
  <c r="H34" i="13"/>
  <c r="I34" i="13" s="1"/>
  <c r="H35" i="13"/>
  <c r="I35" i="13" s="1"/>
  <c r="H36" i="13"/>
  <c r="I36" i="13" s="1"/>
  <c r="H17" i="8" l="1"/>
  <c r="H9" i="8"/>
  <c r="I18" i="13"/>
  <c r="F6" i="8"/>
  <c r="I6" i="13"/>
  <c r="H37" i="13"/>
  <c r="H40" i="13" s="1"/>
  <c r="F41" i="13" l="1"/>
  <c r="E41" i="13"/>
  <c r="G41" i="13"/>
  <c r="G38" i="13"/>
  <c r="F38" i="13"/>
  <c r="E38" i="13"/>
  <c r="I37" i="13"/>
  <c r="A3" i="12"/>
  <c r="G14" i="12"/>
  <c r="A1" i="12"/>
  <c r="F11" i="8"/>
  <c r="F7" i="8"/>
  <c r="C16" i="8"/>
  <c r="C15" i="8"/>
  <c r="C14" i="8"/>
  <c r="C13" i="8"/>
  <c r="D11" i="8" s="1"/>
  <c r="C9" i="8"/>
  <c r="D7" i="8" s="1"/>
  <c r="G10" i="12" l="1"/>
  <c r="D10" i="8"/>
  <c r="C9" i="12"/>
  <c r="C17" i="8"/>
  <c r="C14" i="12"/>
  <c r="E14" i="12"/>
  <c r="E9" i="12"/>
  <c r="F14" i="12"/>
  <c r="D14" i="8"/>
  <c r="F8" i="8"/>
  <c r="F9" i="8" s="1"/>
  <c r="D6" i="8"/>
  <c r="F10" i="8"/>
  <c r="D8" i="8"/>
  <c r="F12" i="8"/>
  <c r="E17" i="8"/>
  <c r="D12" i="8"/>
  <c r="A3" i="11"/>
  <c r="A3" i="8"/>
  <c r="F14" i="8" l="1"/>
  <c r="F17" i="8"/>
  <c r="D16" i="8"/>
  <c r="D17" i="8"/>
  <c r="D15" i="8"/>
  <c r="G9" i="12"/>
  <c r="F13" i="8"/>
  <c r="D14" i="12"/>
  <c r="D9" i="12"/>
  <c r="F16" i="8"/>
  <c r="F15" i="8"/>
  <c r="D13" i="8"/>
  <c r="A1" i="11"/>
  <c r="A1" i="8"/>
  <c r="D9" i="8" l="1"/>
</calcChain>
</file>

<file path=xl/sharedStrings.xml><?xml version="1.0" encoding="utf-8"?>
<sst xmlns="http://schemas.openxmlformats.org/spreadsheetml/2006/main" count="347" uniqueCount="162">
  <si>
    <t>Source</t>
  </si>
  <si>
    <t>https://www.ac-corse.fr/l-academie-en-chiffres-123583</t>
  </si>
  <si>
    <t>Repères statistiques corses</t>
  </si>
  <si>
    <t>Publication annuelle de la division de la prospective et des statistiques académiques (DPSA) de l'Académie de Corse.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</si>
  <si>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</si>
  <si>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</si>
  <si>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</si>
  <si>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</si>
  <si>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</si>
  <si>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</si>
  <si>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</si>
  <si>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</si>
  <si>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Sous-total 1</t>
  </si>
  <si>
    <t>Sous-total 2</t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</si>
  <si>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</si>
  <si>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t>2022</t>
  </si>
  <si>
    <t>Actualisé le</t>
  </si>
  <si>
    <t>DEPP, Système d’information Scolarité.</t>
  </si>
  <si>
    <t>Effectifs</t>
  </si>
  <si>
    <t>2023</t>
  </si>
  <si>
    <t>2.04 L’hébergement des élèves dans les établissements du second degré</t>
  </si>
  <si>
    <t>[1] Évolution de la répartition des élèves selon leur mode d'hébergement</t>
  </si>
  <si>
    <t>[2] Évolution des modes d'hébergement des élèves du second degré</t>
  </si>
  <si>
    <t>Un établissement qui a des internes ou des demi-pensionnaires n’a pas pour autant automatiquement un internat ou une demi-pension, les élèves internes ou demi-pensionnaires pouvant être « hébergés » dans un autre établissement que celui qui les scolarise.</t>
  </si>
  <si>
    <t>Champ : Région corse Public + Privé sous contrat, hors post-bac.</t>
  </si>
  <si>
    <t>Source : SYSCA</t>
  </si>
  <si>
    <t>Demi-pensionnaires</t>
  </si>
  <si>
    <t>Externes</t>
  </si>
  <si>
    <t>Internes</t>
  </si>
  <si>
    <t>Secteur</t>
  </si>
  <si>
    <t>Modes d'hébergement</t>
  </si>
  <si>
    <t>Public</t>
  </si>
  <si>
    <t>Privé</t>
  </si>
  <si>
    <t>Ensemble</t>
  </si>
  <si>
    <t>Sous-total 3</t>
  </si>
  <si>
    <t>Effectifs 2022</t>
  </si>
  <si>
    <t>% 2022</t>
  </si>
  <si>
    <t>Effectifs 2023</t>
  </si>
  <si>
    <t>% 2023</t>
  </si>
  <si>
    <t>Collège</t>
  </si>
  <si>
    <t>EREA</t>
  </si>
  <si>
    <t>LP</t>
  </si>
  <si>
    <t>LEGT</t>
  </si>
  <si>
    <t>Total</t>
  </si>
  <si>
    <t>dont Public</t>
  </si>
  <si>
    <t>Département</t>
  </si>
  <si>
    <t>RNE</t>
  </si>
  <si>
    <t>NOM</t>
  </si>
  <si>
    <t>Corse du sud</t>
  </si>
  <si>
    <t>6200006M</t>
  </si>
  <si>
    <t>Arthur Giovoni</t>
  </si>
  <si>
    <t>6200010S</t>
  </si>
  <si>
    <t>Fesch</t>
  </si>
  <si>
    <t>6200011T</t>
  </si>
  <si>
    <t>Laetitia Bonaparte</t>
  </si>
  <si>
    <t>6200015X</t>
  </si>
  <si>
    <t>Bonifacio</t>
  </si>
  <si>
    <t>6200026J</t>
  </si>
  <si>
    <t>J. De Rocca Serra</t>
  </si>
  <si>
    <t>6200040Z</t>
  </si>
  <si>
    <t>Léon Boujot</t>
  </si>
  <si>
    <t>6200041A</t>
  </si>
  <si>
    <t>Jean Nicoli</t>
  </si>
  <si>
    <t>6200045E</t>
  </si>
  <si>
    <t>du Taravu André Giusti</t>
  </si>
  <si>
    <t>6200048H</t>
  </si>
  <si>
    <t>Camille Borossi</t>
  </si>
  <si>
    <t>6200055R</t>
  </si>
  <si>
    <t>Georges Clémenceau</t>
  </si>
  <si>
    <t>6200080T</t>
  </si>
  <si>
    <t>Porticcio</t>
  </si>
  <si>
    <t>6200084X</t>
  </si>
  <si>
    <t>du Stilettu</t>
  </si>
  <si>
    <t>6200185G</t>
  </si>
  <si>
    <t>Saint-Paul</t>
  </si>
  <si>
    <t>6200191N</t>
  </si>
  <si>
    <t>Baléone</t>
  </si>
  <si>
    <t>6200697N</t>
  </si>
  <si>
    <t>Maria de Peretti</t>
  </si>
  <si>
    <t>Haute Corse</t>
  </si>
  <si>
    <t>7200004S</t>
  </si>
  <si>
    <t>Pascal Paoli</t>
  </si>
  <si>
    <t>7200012A</t>
  </si>
  <si>
    <t>Saint Joseph</t>
  </si>
  <si>
    <t>7200013B</t>
  </si>
  <si>
    <t>Montesoro</t>
  </si>
  <si>
    <t>7200017F</t>
  </si>
  <si>
    <t>Jean Orabona</t>
  </si>
  <si>
    <t>7200020J</t>
  </si>
  <si>
    <t>Philippe Pescetti</t>
  </si>
  <si>
    <t>7200025P</t>
  </si>
  <si>
    <t>7200027S</t>
  </si>
  <si>
    <t>du Cap</t>
  </si>
  <si>
    <t>7200028T</t>
  </si>
  <si>
    <t>Moltifao</t>
  </si>
  <si>
    <t>7200044K</t>
  </si>
  <si>
    <t>Maria Ghentile</t>
  </si>
  <si>
    <t>7200053V</t>
  </si>
  <si>
    <t>Lucciana</t>
  </si>
  <si>
    <t>7200086F</t>
  </si>
  <si>
    <t>Fiumorbu</t>
  </si>
  <si>
    <t>7200139N</t>
  </si>
  <si>
    <t>Pensionnat Jeanne d'Arc</t>
  </si>
  <si>
    <t>7200160L</t>
  </si>
  <si>
    <t>la Casinca</t>
  </si>
  <si>
    <t>7200612C</t>
  </si>
  <si>
    <t>Giraud</t>
  </si>
  <si>
    <t>7200624R</t>
  </si>
  <si>
    <t>Simon Vinciguerra</t>
  </si>
  <si>
    <t>7200727C</t>
  </si>
  <si>
    <t>Campo Vallone</t>
  </si>
  <si>
    <t>Type</t>
  </si>
  <si>
    <t>6200001G</t>
  </si>
  <si>
    <t>6200002H</t>
  </si>
  <si>
    <t>6200003J</t>
  </si>
  <si>
    <t>Jules Antonini</t>
  </si>
  <si>
    <t>6200004K</t>
  </si>
  <si>
    <t>Finosello</t>
  </si>
  <si>
    <t>6200043C</t>
  </si>
  <si>
    <t>LPO</t>
  </si>
  <si>
    <t>6200063Z</t>
  </si>
  <si>
    <t>Jean Paul de Rocca Serra</t>
  </si>
  <si>
    <t>6200636X</t>
  </si>
  <si>
    <t>6200650M</t>
  </si>
  <si>
    <t>LG</t>
  </si>
  <si>
    <t>Instution Saint Paul</t>
  </si>
  <si>
    <t>7200009X</t>
  </si>
  <si>
    <t>Giocante</t>
  </si>
  <si>
    <t>7200011Z</t>
  </si>
  <si>
    <t>Fred Scamaroni</t>
  </si>
  <si>
    <t>7200021K</t>
  </si>
  <si>
    <t>7200073S</t>
  </si>
  <si>
    <t>7200093N</t>
  </si>
  <si>
    <t>7200123W</t>
  </si>
  <si>
    <t>de Balagne</t>
  </si>
  <si>
    <t>7200583W</t>
  </si>
  <si>
    <t>Paul Vincensini</t>
  </si>
  <si>
    <t>7200719U</t>
  </si>
  <si>
    <t>Fium Orbu</t>
  </si>
  <si>
    <t>Effectifs Demi-pensionnaires</t>
  </si>
  <si>
    <t>Effectifs Externes</t>
  </si>
  <si>
    <t>Effectifs Internes</t>
  </si>
  <si>
    <t>Champs : MEN</t>
  </si>
  <si>
    <t>% Demi-pensionnaires</t>
  </si>
  <si>
    <t>Rouge : valeur basse</t>
  </si>
  <si>
    <t>Vert : valeur haute</t>
  </si>
  <si>
    <t>Gris : valeurs sous la moyenne</t>
  </si>
  <si>
    <t>2.02 Les collèges et les lycées de l'académie</t>
  </si>
  <si>
    <t>%</t>
  </si>
  <si>
    <t>Champ : Région corse Public + Privé sous contrat.</t>
  </si>
  <si>
    <t>2024</t>
  </si>
  <si>
    <t>Effectifs 2024</t>
  </si>
  <si>
    <t>% 2024</t>
  </si>
  <si>
    <t>dont Total public</t>
  </si>
  <si>
    <t>DPSA, RSC 2024</t>
  </si>
  <si>
    <t>2025</t>
  </si>
  <si>
    <t>Effectifs 2025</t>
  </si>
  <si>
    <t>% 2025</t>
  </si>
  <si>
    <t>[3] Répartition des élèves du second degré et du post-bac selon le mode d'hébergement et le type d'établissement à la rentrée 2025</t>
  </si>
  <si>
    <t>[4] Répartition des collégiens par établissement selon le mode d'hébergement à la rentrée 2025</t>
  </si>
  <si>
    <t>[5] Répartition des lycéens par établissement selon le mode d'hébergement à la rentrée 2025</t>
  </si>
  <si>
    <t>hors post-bac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</si>
</sst>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800]dddd\,\ mmmm\ dd\,\ yyyy"/>
    <numFmt numFmtId="165" formatCode="#,##0.0"/>
    <numFmt numFmtId="166" formatCode="0.0%"/>
    <numFmt numFmtId="167" formatCode="0.0"/>
  </numFmts>
  <fonts count="23" x14ac:knownFonts="1"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theme="3"/>
      <name val="Arial"/>
      <family val="2"/>
    </font>
    <font>
      <sz val="9"/>
      <color theme="1"/>
      <name val="Arial"/>
      <family val="2"/>
    </font>
    <font>
      <b/>
      <sz val="13"/>
      <color theme="3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8"/>
      <color rgb="FF000065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b/>
      <sz val="11"/>
      <color theme="3"/>
      <name val="Arial"/>
      <family val="2"/>
    </font>
    <font>
      <sz val="9"/>
      <name val="Arial"/>
      <family val="2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">
    <xf numFmtId="0" fontId="0" fillId="0" borderId="0"/>
    <xf numFmtId="0" fontId="1" fillId="0" borderId="0"/>
    <xf numFmtId="0" fontId="3" fillId="0" borderId="1" applyNumberFormat="0" applyFill="0" applyAlignment="0" applyProtection="0"/>
    <xf numFmtId="9" fontId="4" fillId="0" borderId="0" applyFont="0" applyFill="0" applyBorder="0" applyAlignment="0" applyProtection="0"/>
    <xf numFmtId="0" fontId="5" fillId="0" borderId="3" applyNumberFormat="0" applyFill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11" fillId="0" borderId="0"/>
    <xf numFmtId="9" fontId="12" fillId="0" borderId="0" applyFont="0" applyFill="0" applyBorder="0" applyAlignment="0" applyProtection="0"/>
    <xf numFmtId="0" fontId="1" fillId="0" borderId="0"/>
    <xf numFmtId="0" fontId="19" fillId="0" borderId="7" applyNumberFormat="0" applyFill="0" applyAlignment="0" applyProtection="0"/>
  </cellStyleXfs>
  <cellXfs count="129">
    <xf numFmtId="0" fontId="0" fillId="0" borderId="0" xfId="0"/>
    <xf numFmtId="0" fontId="2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65" fontId="10" fillId="0" borderId="0" xfId="0" applyNumberFormat="1" applyFont="1" applyFill="1" applyBorder="1" applyAlignment="1">
      <alignment horizontal="right" vertical="center"/>
    </xf>
    <xf numFmtId="166" fontId="9" fillId="0" borderId="0" xfId="3" applyNumberFormat="1" applyFont="1" applyFill="1" applyBorder="1" applyAlignment="1">
      <alignment horizontal="right" vertical="center"/>
    </xf>
    <xf numFmtId="166" fontId="10" fillId="0" borderId="0" xfId="3" applyNumberFormat="1" applyFont="1" applyFill="1" applyBorder="1" applyAlignment="1">
      <alignment horizontal="right" vertical="center"/>
    </xf>
    <xf numFmtId="0" fontId="14" fillId="0" borderId="0" xfId="6" applyFont="1" applyFill="1" applyAlignment="1">
      <alignment vertical="center" wrapText="1"/>
    </xf>
    <xf numFmtId="0" fontId="14" fillId="0" borderId="0" xfId="6" applyFont="1" applyFill="1" applyAlignment="1">
      <alignment vertical="center"/>
    </xf>
    <xf numFmtId="0" fontId="14" fillId="0" borderId="0" xfId="6" applyFont="1" applyAlignment="1">
      <alignment vertical="center" wrapText="1"/>
    </xf>
    <xf numFmtId="0" fontId="9" fillId="0" borderId="0" xfId="6" applyFont="1" applyAlignment="1">
      <alignment vertical="center" wrapText="1"/>
    </xf>
    <xf numFmtId="0" fontId="5" fillId="0" borderId="3" xfId="4" applyAlignment="1">
      <alignment vertical="center" wrapText="1"/>
    </xf>
    <xf numFmtId="0" fontId="5" fillId="0" borderId="3" xfId="4" applyAlignment="1">
      <alignment vertical="center"/>
    </xf>
    <xf numFmtId="0" fontId="1" fillId="0" borderId="0" xfId="8" applyFont="1" applyAlignment="1">
      <alignment vertical="center"/>
    </xf>
    <xf numFmtId="0" fontId="10" fillId="0" borderId="0" xfId="6" applyFont="1" applyFill="1" applyAlignment="1">
      <alignment vertical="center" wrapText="1"/>
    </xf>
    <xf numFmtId="0" fontId="15" fillId="0" borderId="0" xfId="1" applyFont="1" applyAlignment="1">
      <alignment horizontal="justify" vertical="center" wrapText="1"/>
    </xf>
    <xf numFmtId="0" fontId="9" fillId="0" borderId="0" xfId="8" applyFont="1" applyBorder="1" applyAlignment="1">
      <alignment vertical="center"/>
    </xf>
    <xf numFmtId="0" fontId="1" fillId="0" borderId="0" xfId="8" applyFont="1" applyBorder="1" applyAlignment="1">
      <alignment horizontal="right" vertical="center"/>
    </xf>
    <xf numFmtId="0" fontId="10" fillId="0" borderId="0" xfId="8" applyFont="1" applyBorder="1" applyAlignment="1">
      <alignment vertical="center"/>
    </xf>
    <xf numFmtId="0" fontId="14" fillId="0" borderId="0" xfId="8" applyFont="1" applyBorder="1" applyAlignment="1">
      <alignment horizontal="right" vertical="center"/>
    </xf>
    <xf numFmtId="0" fontId="14" fillId="0" borderId="0" xfId="8" applyFont="1" applyAlignment="1">
      <alignment vertical="center"/>
    </xf>
    <xf numFmtId="0" fontId="10" fillId="0" borderId="0" xfId="8" applyFont="1" applyBorder="1" applyAlignment="1">
      <alignment horizontal="left" vertical="center"/>
    </xf>
    <xf numFmtId="3" fontId="10" fillId="0" borderId="0" xfId="8" applyNumberFormat="1" applyFont="1" applyBorder="1" applyAlignment="1">
      <alignment horizontal="right" vertical="center"/>
    </xf>
    <xf numFmtId="3" fontId="10" fillId="0" borderId="0" xfId="8" applyNumberFormat="1" applyFont="1" applyAlignment="1">
      <alignment vertical="center"/>
    </xf>
    <xf numFmtId="3" fontId="13" fillId="0" borderId="0" xfId="8" applyNumberFormat="1" applyFont="1" applyBorder="1" applyAlignment="1">
      <alignment horizontal="right" vertical="center"/>
    </xf>
    <xf numFmtId="165" fontId="13" fillId="0" borderId="0" xfId="8" applyNumberFormat="1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0" fontId="9" fillId="0" borderId="0" xfId="8" quotePrefix="1" applyFont="1" applyBorder="1" applyAlignment="1">
      <alignment vertical="center"/>
    </xf>
    <xf numFmtId="0" fontId="9" fillId="0" borderId="0" xfId="8" quotePrefix="1" applyFont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9" fillId="0" borderId="0" xfId="1" applyFont="1" applyAlignment="1">
      <alignment horizontal="justify" vertical="center" wrapText="1"/>
    </xf>
    <xf numFmtId="0" fontId="9" fillId="0" borderId="0" xfId="8" applyFont="1" applyFill="1" applyAlignment="1">
      <alignment vertical="center"/>
    </xf>
    <xf numFmtId="0" fontId="11" fillId="0" borderId="0" xfId="8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0" xfId="8" applyFont="1" applyBorder="1" applyAlignment="1">
      <alignment horizontal="right" vertical="center"/>
    </xf>
    <xf numFmtId="0" fontId="17" fillId="0" borderId="0" xfId="0" applyFont="1" applyFill="1" applyBorder="1" applyAlignment="1">
      <alignment vertical="center" wrapText="1"/>
    </xf>
    <xf numFmtId="3" fontId="17" fillId="0" borderId="0" xfId="3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left" vertical="center"/>
    </xf>
    <xf numFmtId="0" fontId="18" fillId="0" borderId="0" xfId="10" applyFont="1" applyFill="1" applyAlignment="1">
      <alignment vertical="center"/>
    </xf>
    <xf numFmtId="0" fontId="1" fillId="0" borderId="0" xfId="10" applyFont="1"/>
    <xf numFmtId="0" fontId="9" fillId="0" borderId="0" xfId="10" applyFont="1"/>
    <xf numFmtId="0" fontId="9" fillId="0" borderId="0" xfId="10" applyFont="1" applyFill="1" applyBorder="1" applyAlignment="1"/>
    <xf numFmtId="0" fontId="10" fillId="0" borderId="0" xfId="10" applyFont="1" applyFill="1"/>
    <xf numFmtId="0" fontId="9" fillId="0" borderId="0" xfId="10" applyFont="1" applyFill="1" applyBorder="1" applyAlignment="1">
      <alignment horizontal="center" vertical="center" wrapText="1"/>
    </xf>
    <xf numFmtId="0" fontId="9" fillId="0" borderId="0" xfId="10" applyFont="1" applyFill="1"/>
    <xf numFmtId="0" fontId="10" fillId="0" borderId="0" xfId="10" applyNumberFormat="1" applyFont="1" applyBorder="1" applyAlignment="1">
      <alignment horizontal="center" vertical="center" wrapText="1"/>
    </xf>
    <xf numFmtId="0" fontId="9" fillId="0" borderId="0" xfId="10" applyFont="1" applyAlignment="1">
      <alignment wrapText="1"/>
    </xf>
    <xf numFmtId="0" fontId="9" fillId="0" borderId="0" xfId="6" applyFont="1" applyFill="1" applyBorder="1" applyAlignment="1">
      <alignment horizontal="center" vertical="center" wrapText="1"/>
    </xf>
    <xf numFmtId="0" fontId="10" fillId="0" borderId="0" xfId="6" applyNumberFormat="1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Border="1" applyAlignment="1" applyProtection="1"/>
    <xf numFmtId="3" fontId="9" fillId="0" borderId="0" xfId="10" applyNumberFormat="1" applyFont="1"/>
    <xf numFmtId="0" fontId="17" fillId="0" borderId="0" xfId="6" applyFont="1" applyFill="1" applyBorder="1" applyAlignment="1">
      <alignment horizontal="center" vertical="center" wrapText="1"/>
    </xf>
    <xf numFmtId="0" fontId="9" fillId="0" borderId="0" xfId="10" applyFont="1" applyAlignment="1"/>
    <xf numFmtId="0" fontId="16" fillId="0" borderId="0" xfId="6" applyNumberFormat="1" applyFont="1" applyFill="1" applyAlignment="1">
      <alignment horizontal="center" vertical="center" wrapText="1"/>
    </xf>
    <xf numFmtId="0" fontId="3" fillId="0" borderId="1" xfId="2" applyAlignment="1">
      <alignment vertical="center"/>
    </xf>
    <xf numFmtId="0" fontId="1" fillId="0" borderId="0" xfId="10" applyFont="1" applyAlignment="1">
      <alignment vertical="center"/>
    </xf>
    <xf numFmtId="0" fontId="14" fillId="0" borderId="0" xfId="10" applyFont="1" applyFill="1" applyAlignment="1">
      <alignment vertical="center"/>
    </xf>
    <xf numFmtId="0" fontId="9" fillId="0" borderId="0" xfId="10" applyFont="1" applyAlignment="1">
      <alignment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left" vertical="center"/>
    </xf>
    <xf numFmtId="3" fontId="9" fillId="0" borderId="0" xfId="10" applyNumberFormat="1" applyFont="1" applyBorder="1" applyAlignment="1">
      <alignment vertical="center"/>
    </xf>
    <xf numFmtId="166" fontId="17" fillId="0" borderId="0" xfId="10" applyNumberFormat="1" applyFont="1" applyBorder="1" applyAlignment="1">
      <alignment vertical="center"/>
    </xf>
    <xf numFmtId="3" fontId="9" fillId="0" borderId="0" xfId="10" applyNumberFormat="1" applyFont="1" applyAlignment="1">
      <alignment vertical="center"/>
    </xf>
    <xf numFmtId="3" fontId="9" fillId="0" borderId="0" xfId="10" applyNumberFormat="1" applyFont="1" applyFill="1" applyBorder="1" applyAlignment="1">
      <alignment vertical="center"/>
    </xf>
    <xf numFmtId="166" fontId="17" fillId="0" borderId="0" xfId="10" applyNumberFormat="1" applyFont="1" applyFill="1" applyBorder="1" applyAlignment="1">
      <alignment vertical="center"/>
    </xf>
    <xf numFmtId="0" fontId="10" fillId="0" borderId="0" xfId="10" applyFont="1" applyFill="1" applyAlignment="1">
      <alignment vertical="center"/>
    </xf>
    <xf numFmtId="0" fontId="9" fillId="0" borderId="0" xfId="10" applyFont="1" applyFill="1" applyAlignment="1">
      <alignment vertical="center"/>
    </xf>
    <xf numFmtId="166" fontId="17" fillId="0" borderId="0" xfId="3" applyNumberFormat="1" applyFont="1"/>
    <xf numFmtId="166" fontId="17" fillId="0" borderId="0" xfId="3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1" fillId="0" borderId="0" xfId="8" applyFont="1" applyBorder="1" applyAlignment="1">
      <alignment vertical="center"/>
    </xf>
    <xf numFmtId="165" fontId="10" fillId="0" borderId="0" xfId="8" applyNumberFormat="1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0" fontId="2" fillId="0" borderId="0" xfId="6" applyAlignment="1">
      <alignment vertical="center"/>
    </xf>
    <xf numFmtId="164" fontId="6" fillId="0" borderId="0" xfId="6" applyNumberFormat="1" applyFont="1" applyAlignment="1">
      <alignment horizontal="right" vertical="center" wrapText="1"/>
    </xf>
    <xf numFmtId="14" fontId="6" fillId="0" borderId="0" xfId="6" applyNumberFormat="1" applyFont="1" applyAlignment="1">
      <alignment horizontal="right" vertical="center" wrapText="1"/>
    </xf>
    <xf numFmtId="0" fontId="2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 wrapText="1"/>
    </xf>
    <xf numFmtId="0" fontId="8" fillId="0" borderId="0" xfId="6" applyFont="1" applyAlignment="1">
      <alignment vertical="center" wrapText="1"/>
    </xf>
    <xf numFmtId="0" fontId="9" fillId="0" borderId="0" xfId="6" quotePrefix="1" applyFont="1" applyAlignment="1">
      <alignment vertical="center"/>
    </xf>
    <xf numFmtId="0" fontId="17" fillId="0" borderId="6" xfId="0" applyFont="1" applyFill="1" applyBorder="1" applyAlignment="1">
      <alignment horizontal="left" vertical="center" indent="1"/>
    </xf>
    <xf numFmtId="0" fontId="9" fillId="0" borderId="0" xfId="10" applyFont="1" applyBorder="1" applyAlignment="1">
      <alignment vertical="center"/>
    </xf>
    <xf numFmtId="3" fontId="9" fillId="0" borderId="0" xfId="6" applyNumberFormat="1" applyFont="1" applyFill="1" applyAlignment="1">
      <alignment vertical="center"/>
    </xf>
    <xf numFmtId="166" fontId="17" fillId="0" borderId="0" xfId="3" applyNumberFormat="1" applyFont="1" applyFill="1" applyAlignment="1">
      <alignment vertical="center"/>
    </xf>
    <xf numFmtId="0" fontId="19" fillId="0" borderId="0" xfId="11" applyBorder="1" applyAlignment="1">
      <alignment vertical="center"/>
    </xf>
    <xf numFmtId="166" fontId="10" fillId="0" borderId="0" xfId="8" applyNumberFormat="1" applyFont="1" applyFill="1" applyAlignment="1">
      <alignment vertical="center"/>
    </xf>
    <xf numFmtId="9" fontId="10" fillId="0" borderId="2" xfId="0" quotePrefix="1" applyNumberFormat="1" applyFont="1" applyFill="1" applyBorder="1" applyAlignment="1">
      <alignment horizontal="right" vertical="center" wrapText="1"/>
    </xf>
    <xf numFmtId="0" fontId="10" fillId="0" borderId="2" xfId="0" quotePrefix="1" applyFont="1" applyFill="1" applyBorder="1" applyAlignment="1">
      <alignment horizontal="right" vertical="center" wrapText="1"/>
    </xf>
    <xf numFmtId="3" fontId="9" fillId="0" borderId="0" xfId="8" applyNumberFormat="1" applyFont="1" applyFill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3" fontId="10" fillId="0" borderId="0" xfId="10" applyNumberFormat="1" applyFont="1" applyAlignment="1">
      <alignment vertical="center"/>
    </xf>
    <xf numFmtId="166" fontId="9" fillId="0" borderId="0" xfId="10" applyNumberFormat="1" applyFont="1" applyFill="1" applyBorder="1" applyAlignment="1">
      <alignment horizontal="right" vertical="center"/>
    </xf>
    <xf numFmtId="3" fontId="10" fillId="0" borderId="0" xfId="10" applyNumberFormat="1" applyFont="1"/>
    <xf numFmtId="9" fontId="9" fillId="0" borderId="0" xfId="10" applyNumberFormat="1" applyFont="1"/>
    <xf numFmtId="167" fontId="10" fillId="0" borderId="0" xfId="3" applyNumberFormat="1" applyFont="1" applyFill="1" applyBorder="1" applyAlignment="1">
      <alignment horizontal="right" vertical="center"/>
    </xf>
    <xf numFmtId="3" fontId="10" fillId="0" borderId="0" xfId="8" applyNumberFormat="1" applyFont="1" applyFill="1" applyAlignment="1">
      <alignment vertical="center"/>
    </xf>
    <xf numFmtId="0" fontId="10" fillId="0" borderId="2" xfId="0" applyFont="1" applyFill="1" applyBorder="1" applyAlignment="1">
      <alignment horizontal="right" vertical="center" wrapText="1"/>
    </xf>
    <xf numFmtId="166" fontId="20" fillId="0" borderId="0" xfId="9" applyNumberFormat="1" applyFont="1" applyFill="1" applyBorder="1" applyAlignment="1">
      <alignment horizontal="right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vertical="center" wrapText="1"/>
    </xf>
    <xf numFmtId="166" fontId="9" fillId="0" borderId="0" xfId="9" applyNumberFormat="1" applyFont="1" applyFill="1" applyBorder="1" applyAlignment="1">
      <alignment horizontal="right" vertical="center"/>
    </xf>
    <xf numFmtId="166" fontId="9" fillId="0" borderId="0" xfId="8" applyNumberFormat="1" applyFont="1" applyFill="1" applyAlignment="1">
      <alignment horizontal="right" vertical="center"/>
    </xf>
    <xf numFmtId="166" fontId="9" fillId="0" borderId="4" xfId="9" applyNumberFormat="1" applyFont="1" applyFill="1" applyBorder="1" applyAlignment="1">
      <alignment vertical="center" wrapText="1"/>
    </xf>
    <xf numFmtId="0" fontId="21" fillId="0" borderId="0" xfId="8" applyFont="1" applyFill="1" applyAlignment="1">
      <alignment vertical="center"/>
    </xf>
    <xf numFmtId="0" fontId="22" fillId="0" borderId="2" xfId="0" quotePrefix="1" applyFont="1" applyFill="1" applyBorder="1" applyAlignment="1">
      <alignment vertical="center" wrapText="1"/>
    </xf>
    <xf numFmtId="0" fontId="10" fillId="0" borderId="0" xfId="8" applyFont="1" applyFill="1" applyAlignment="1">
      <alignment vertical="center"/>
    </xf>
    <xf numFmtId="166" fontId="21" fillId="0" borderId="0" xfId="8" applyNumberFormat="1" applyFont="1" applyFill="1" applyAlignment="1">
      <alignment vertical="center"/>
    </xf>
    <xf numFmtId="166" fontId="20" fillId="0" borderId="6" xfId="9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3" fontId="9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 applyFill="1" applyBorder="1" applyAlignment="1" applyProtection="1"/>
    <xf numFmtId="166" fontId="16" fillId="0" borderId="0" xfId="0" applyNumberFormat="1" applyFont="1" applyFill="1" applyBorder="1" applyAlignment="1"/>
    <xf numFmtId="0" fontId="20" fillId="0" borderId="0" xfId="10" applyFont="1"/>
  </cellXfs>
  <cellStyles count="12">
    <cellStyle name="Lien hypertexte 2" xfId="7"/>
    <cellStyle name="Normal" xfId="0" builtinId="0"/>
    <cellStyle name="Normal 2" xfId="1"/>
    <cellStyle name="Normal 2 2" xfId="6"/>
    <cellStyle name="Normal 2 2 2" xfId="10"/>
    <cellStyle name="Normal 2_TC_A1" xfId="5"/>
    <cellStyle name="Normal 3" xfId="8"/>
    <cellStyle name="Pourcentage" xfId="3" builtinId="5"/>
    <cellStyle name="Pourcentage 2" xfId="9"/>
    <cellStyle name="Titre 1" xfId="2" builtinId="16"/>
    <cellStyle name="Titre 2" xfId="4" builtinId="17"/>
    <cellStyle name="Titre 3" xfId="11" builtinId="18"/>
  </cellStyles>
  <dxfs count="105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i/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fill>
        <patternFill patternType="none">
          <bgColor auto="1"/>
        </patternFill>
      </fill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2" defaultTableStyle="Style TAB" defaultPivotStyle="PivotStyleLight16">
    <tableStyle name="RSC" pivot="0" count="0"/>
    <tableStyle name="Style TAB" pivot="0" count="3">
      <tableStyleElement type="wholeTable" dxfId="104"/>
      <tableStyleElement type="headerRow" dxfId="103"/>
      <tableStyleElement type="totalRow" dxfId="10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'2.04 Graph 1'!$A$3</c:f>
          <c:strCache>
            <c:ptCount val="1"/>
            <c:pt idx="0">
              <c:v>[1] Évolution de la répartition des élèves selon leur mode d'hébergement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'2.04 Graph 1'!$A$6</c:f>
              <c:strCache>
                <c:ptCount val="1"/>
                <c:pt idx="0">
                  <c:v>Demi-pensionnaires</c:v>
                </c:pt>
              </c:strCache>
            </c:strRef>
          </c:tx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820943412285588E-2"/>
                  <c:y val="-8.4144386894603948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8E3-4DEE-8FC4-06FE77FD4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'2.04 Graph 1'!$B$5:$E$5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'2.04 Graph 1'!$B$6:$E$6</c:f>
              <c:numCache>
                <c:formatCode>0.0%</c:formatCode>
                <c:ptCount val="4"/>
                <c:pt idx="0">
                  <c:v>0.49399999999999999</c:v>
                </c:pt>
                <c:pt idx="1">
                  <c:v>0.52838768351305698</c:v>
                </c:pt>
                <c:pt idx="2">
                  <c:v>0.54378232516303127</c:v>
                </c:pt>
                <c:pt idx="3">
                  <c:v>0.55822970985425857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3-4D49-8356-E4B553193538}"/>
            </c:ext>
          </c:extLst>
        </c:ser>
        <c:ser>
          <c:idx val="1"/>
          <c:order val="1"/>
          <c:tx>
            <c:strRef>
              <c:f>'2.04 Graph 1'!$A$7</c:f>
              <c:strCache>
                <c:ptCount val="1"/>
                <c:pt idx="0">
                  <c:v>Externes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368962753955777E-2"/>
                  <c:y val="5.273774238296254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94-42AD-A268-ADA786D72B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'2.04 Graph 1'!$B$5:$E$5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'2.04 Graph 1'!$B$7:$E$7</c:f>
              <c:numCache>
                <c:formatCode>0.0%</c:formatCode>
                <c:ptCount val="4"/>
                <c:pt idx="0">
                  <c:v>0.47599999999999998</c:v>
                </c:pt>
                <c:pt idx="1">
                  <c:v>0.44307305876748515</c:v>
                </c:pt>
                <c:pt idx="2">
                  <c:v>0.42675961322239714</c:v>
                </c:pt>
                <c:pt idx="3">
                  <c:v>0.40919017693987608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4-42AD-A268-ADA786D72B43}"/>
            </c:ext>
          </c:extLst>
        </c:ser>
        <c:ser>
          <c:idx val="2"/>
          <c:order val="2"/>
          <c:tx>
            <c:strRef>
              <c:f>'2.04 Graph 1'!$A$8</c:f>
              <c:strCache>
                <c:ptCount val="1"/>
                <c:pt idx="0">
                  <c:v>Internes</c:v>
                </c:pt>
              </c:strCache>
            </c:strRef>
          </c:tx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594-42AD-A268-ADA786D72B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'2.04 Graph 1'!$B$5:$E$5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strCache>
            </c:strRef>
          </c:cat>
          <c:val>
            <c:numRef>
              <c:f>'2.04 Graph 1'!$B$8:$E$8</c:f>
              <c:numCache>
                <c:formatCode>0.0%</c:formatCode>
                <c:ptCount val="4"/>
                <c:pt idx="0">
                  <c:v>0.03</c:v>
                </c:pt>
                <c:pt idx="1">
                  <c:v>2.8539257719457797E-2</c:v>
                </c:pt>
                <c:pt idx="2">
                  <c:v>2.945806161457162E-2</c:v>
                </c:pt>
                <c:pt idx="3">
                  <c:v>3.2580113205865312E-2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4-42AD-A268-ADA786D72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1">
                <a:solidFill>
                  <a:sysClr val="windowText" lastClr="000000"/>
                </a:solidFill>
              </a:rPr>
              <a:t>Répartition par département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'2.04 Tableau 4'!$L$5</c:f>
              <c:strCache>
                <c:ptCount val="1"/>
                <c:pt idx="0">
                  <c:v>Effectifs Demi-pensionnaires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4'!$K$6:$K$7</c:f>
              <c:strCache>
                <c:ptCount val="2"/>
                <c:pt idx="0">
                  <c:v>Corse du sud</c:v>
                </c:pt>
                <c:pt idx="1">
                  <c:v>Haute Corse</c:v>
                </c:pt>
              </c:strCache>
            </c:strRef>
          </c:cat>
          <c:val>
            <c:numRef>
              <c:f>'2.04 Tableau 4'!$L$6:$L$7</c:f>
              <c:numCache>
                <c:formatCode>#,##0</c:formatCode>
                <c:ptCount val="2"/>
                <c:pt idx="0">
                  <c:v>4447</c:v>
                </c:pt>
                <c:pt idx="1">
                  <c:v>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A-4A92-9AAE-92B4DAE41D86}"/>
            </c:ext>
          </c:extLst>
        </c:ser>
        <c:ser>
          <c:idx val="1"/>
          <c:order val="1"/>
          <c:tx>
            <c:strRef>
              <c:f>'2.04 Tableau 4'!$M$5</c:f>
              <c:strCache>
                <c:ptCount val="1"/>
                <c:pt idx="0">
                  <c:v>Effectifs Externes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4'!$K$6:$K$7</c:f>
              <c:strCache>
                <c:ptCount val="2"/>
                <c:pt idx="0">
                  <c:v>Corse du sud</c:v>
                </c:pt>
                <c:pt idx="1">
                  <c:v>Haute Corse</c:v>
                </c:pt>
              </c:strCache>
            </c:strRef>
          </c:cat>
          <c:val>
            <c:numRef>
              <c:f>'2.04 Tableau 4'!$M$6:$M$7</c:f>
              <c:numCache>
                <c:formatCode>#,##0</c:formatCode>
                <c:ptCount val="2"/>
                <c:pt idx="0">
                  <c:v>1744</c:v>
                </c:pt>
                <c:pt idx="1">
                  <c:v>2393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A-4A92-9AAE-92B4DAE41D86}"/>
            </c:ext>
          </c:extLst>
        </c:ser>
        <c:ser>
          <c:idx val="2"/>
          <c:order val="2"/>
          <c:tx>
            <c:strRef>
              <c:f>'2.04 Tableau 4'!$N$5</c:f>
              <c:strCache>
                <c:ptCount val="1"/>
                <c:pt idx="0">
                  <c:v>Effectifs Internes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1367521367521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ECA-4A92-9AAE-92B4DAE41D86}"/>
                </c:ext>
              </c:extLst>
            </c:dLbl>
            <c:dLbl>
              <c:idx val="1"/>
              <c:layout>
                <c:manualLayout>
                  <c:x val="2.98504273504273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CA-4A92-9AAE-92B4DAE41D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4'!$K$6:$K$7</c:f>
              <c:strCache>
                <c:ptCount val="2"/>
                <c:pt idx="0">
                  <c:v>Corse du sud</c:v>
                </c:pt>
                <c:pt idx="1">
                  <c:v>Haute Corse</c:v>
                </c:pt>
              </c:strCache>
            </c:strRef>
          </c:cat>
          <c:val>
            <c:numRef>
              <c:f>'2.04 Tableau 4'!$N$6:$N$7</c:f>
              <c:numCache>
                <c:formatCode>#,##0</c:formatCode>
                <c:ptCount val="2"/>
                <c:pt idx="0">
                  <c:v>6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CA-4A92-9AAE-92B4DAE41D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445664"/>
        <c:axId val="253520"/>
      </c:barChart>
      <c:catAx>
        <c:axId val="128445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520"/>
        <c:crosses val="autoZero"/>
        <c:auto val="1"/>
        <c:lblAlgn val="ctr"/>
        <c:lblOffset val="100"/>
        <c:noMultiLvlLbl val="0"/>
      </c:catAx>
      <c:valAx>
        <c:axId val="25352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84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fr-FR" sz="10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000" b="1" i="0" baseline="0">
                <a:effectLst/>
              </a:rPr>
              <a:t>Répartition par secteur</a:t>
            </a:r>
            <a:endParaRPr lang="fr-FR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'2.04 Tableau 4'!$L$18</c:f>
              <c:strCache>
                <c:ptCount val="1"/>
                <c:pt idx="0">
                  <c:v>Effectifs Demi-pensionnaires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4'!$K$19:$K$20</c:f>
              <c:strCache>
                <c:ptCount val="2"/>
                <c:pt idx="0">
                  <c:v>Public</c:v>
                </c:pt>
                <c:pt idx="1">
                  <c:v>Privé</c:v>
                </c:pt>
              </c:strCache>
            </c:strRef>
          </c:cat>
          <c:val>
            <c:numRef>
              <c:f>'2.04 Tableau 4'!$L$19:$L$20</c:f>
              <c:numCache>
                <c:formatCode>#,##0</c:formatCode>
                <c:ptCount val="2"/>
                <c:pt idx="0">
                  <c:v>8730</c:v>
                </c:pt>
                <c:pt idx="1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02-4DBF-8FFB-1935C4D58C34}"/>
            </c:ext>
          </c:extLst>
        </c:ser>
        <c:ser>
          <c:idx val="1"/>
          <c:order val="1"/>
          <c:tx>
            <c:strRef>
              <c:f>'2.04 Tableau 4'!$M$18</c:f>
              <c:strCache>
                <c:ptCount val="1"/>
                <c:pt idx="0">
                  <c:v>Effectifs Externes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4'!$K$19:$K$20</c:f>
              <c:strCache>
                <c:ptCount val="2"/>
                <c:pt idx="0">
                  <c:v>Public</c:v>
                </c:pt>
                <c:pt idx="1">
                  <c:v>Privé</c:v>
                </c:pt>
              </c:strCache>
            </c:strRef>
          </c:cat>
          <c:val>
            <c:numRef>
              <c:f>'2.04 Tableau 4'!$M$19:$M$20</c:f>
              <c:numCache>
                <c:formatCode>#,##0</c:formatCode>
                <c:ptCount val="2"/>
                <c:pt idx="0">
                  <c:v>3713</c:v>
                </c:pt>
                <c:pt idx="1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02-4DBF-8FFB-1935C4D58C34}"/>
            </c:ext>
          </c:extLst>
        </c:ser>
        <c:ser>
          <c:idx val="2"/>
          <c:order val="2"/>
          <c:tx>
            <c:strRef>
              <c:f>'2.04 Tableau 4'!$N$18</c:f>
              <c:strCache>
                <c:ptCount val="1"/>
                <c:pt idx="0">
                  <c:v>Effectifs Internes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4423076923076922E-2"/>
                  <c:y val="-1.2935035758548312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202-4DBF-8FFB-1935C4D58C34}"/>
                </c:ext>
              </c:extLst>
            </c:dLbl>
            <c:dLbl>
              <c:idx val="1"/>
              <c:layout>
                <c:manualLayout>
                  <c:x val="1.62820512820512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02-4DBF-8FFB-1935C4D58C34}"/>
                </c:ext>
              </c:extLst>
            </c:dLbl>
            <c:numFmt formatCode="#,##0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fr-FR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4'!$K$19:$K$20</c:f>
              <c:strCache>
                <c:ptCount val="2"/>
                <c:pt idx="0">
                  <c:v>Public</c:v>
                </c:pt>
                <c:pt idx="1">
                  <c:v>Privé</c:v>
                </c:pt>
              </c:strCache>
            </c:strRef>
          </c:cat>
          <c:val>
            <c:numRef>
              <c:f>'2.04 Tableau 4'!$N$19:$N$20</c:f>
              <c:numCache>
                <c:formatCode>#,##0</c:formatCode>
                <c:ptCount val="2"/>
                <c:pt idx="0">
                  <c:v>30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02-4DBF-8FFB-1935C4D58C3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530158256"/>
        <c:axId val="255600"/>
      </c:barChart>
      <c:catAx>
        <c:axId val="530158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5600"/>
        <c:crosses val="autoZero"/>
        <c:auto val="1"/>
        <c:lblAlgn val="ctr"/>
        <c:lblOffset val="100"/>
        <c:noMultiLvlLbl val="0"/>
      </c:catAx>
      <c:valAx>
        <c:axId val="25560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fr-FR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3015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fr-FR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fr-FR" sz="10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/>
              <a:t>Répartition par département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'2.04 Tableau 5'!$M$8</c:f>
              <c:strCache>
                <c:ptCount val="1"/>
                <c:pt idx="0">
                  <c:v>Effectifs Demi-pensionnaires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5'!$L$9:$L$10</c:f>
              <c:strCache>
                <c:ptCount val="2"/>
                <c:pt idx="0">
                  <c:v>Corse du sud</c:v>
                </c:pt>
                <c:pt idx="1">
                  <c:v>Haute Corse</c:v>
                </c:pt>
              </c:strCache>
            </c:strRef>
          </c:cat>
          <c:val>
            <c:numRef>
              <c:f>'2.04 Tableau 5'!$M$9:$M$10</c:f>
              <c:numCache>
                <c:formatCode>#,##0</c:formatCode>
                <c:ptCount val="2"/>
                <c:pt idx="0">
                  <c:v>1735</c:v>
                </c:pt>
                <c:pt idx="1">
                  <c:v>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A-4A92-9AAE-92B4DAE41D86}"/>
            </c:ext>
          </c:extLst>
        </c:ser>
        <c:ser>
          <c:idx val="1"/>
          <c:order val="1"/>
          <c:tx>
            <c:strRef>
              <c:f>'2.04 Tableau 5'!$N$8</c:f>
              <c:strCache>
                <c:ptCount val="1"/>
                <c:pt idx="0">
                  <c:v>Effectifs Externes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5'!$L$9:$L$10</c:f>
              <c:strCache>
                <c:ptCount val="2"/>
                <c:pt idx="0">
                  <c:v>Corse du sud</c:v>
                </c:pt>
                <c:pt idx="1">
                  <c:v>Haute Corse</c:v>
                </c:pt>
              </c:strCache>
            </c:strRef>
          </c:cat>
          <c:val>
            <c:numRef>
              <c:f>'2.04 Tableau 5'!$N$9:$N$10</c:f>
              <c:numCache>
                <c:formatCode>#,##0</c:formatCode>
                <c:ptCount val="2"/>
                <c:pt idx="0">
                  <c:v>2289</c:v>
                </c:pt>
                <c:pt idx="1">
                  <c:v>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A-4A92-9AAE-92B4DAE41D86}"/>
            </c:ext>
          </c:extLst>
        </c:ser>
        <c:ser>
          <c:idx val="2"/>
          <c:order val="2"/>
          <c:tx>
            <c:strRef>
              <c:f>'2.04 Tableau 5'!$O$8</c:f>
              <c:strCache>
                <c:ptCount val="1"/>
                <c:pt idx="0">
                  <c:v>Effectifs Internes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5'!$L$9:$L$10</c:f>
              <c:strCache>
                <c:ptCount val="2"/>
                <c:pt idx="0">
                  <c:v>Corse du sud</c:v>
                </c:pt>
                <c:pt idx="1">
                  <c:v>Haute Corse</c:v>
                </c:pt>
              </c:strCache>
            </c:strRef>
          </c:cat>
          <c:val>
            <c:numRef>
              <c:f>'2.04 Tableau 5'!$O$9:$O$10</c:f>
              <c:numCache>
                <c:formatCode>#,##0</c:formatCode>
                <c:ptCount val="2"/>
                <c:pt idx="0">
                  <c:v>246</c:v>
                </c:pt>
                <c:pt idx="1">
                  <c:v>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BD-4228-8866-2D42082438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445664"/>
        <c:axId val="253520"/>
      </c:barChart>
      <c:catAx>
        <c:axId val="128445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520"/>
        <c:crosses val="autoZero"/>
        <c:auto val="1"/>
        <c:lblAlgn val="ctr"/>
        <c:lblOffset val="100"/>
        <c:noMultiLvlLbl val="0"/>
      </c:catAx>
      <c:valAx>
        <c:axId val="25352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84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/>
              <a:t>Répartition par secteur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'2.04 Tableau 5'!$M$17</c:f>
              <c:strCache>
                <c:ptCount val="1"/>
                <c:pt idx="0">
                  <c:v>Effectifs Demi-pensionnaires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5'!$L$18:$L$19</c:f>
              <c:strCache>
                <c:ptCount val="2"/>
                <c:pt idx="0">
                  <c:v>Public</c:v>
                </c:pt>
                <c:pt idx="1">
                  <c:v>Privé</c:v>
                </c:pt>
              </c:strCache>
            </c:strRef>
          </c:cat>
          <c:val>
            <c:numRef>
              <c:f>'2.04 Tableau 5'!$M$18:$M$19</c:f>
              <c:numCache>
                <c:formatCode>#,##0</c:formatCode>
                <c:ptCount val="2"/>
                <c:pt idx="0">
                  <c:v>3344</c:v>
                </c:pt>
                <c:pt idx="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A-4A92-9AAE-92B4DAE41D86}"/>
            </c:ext>
          </c:extLst>
        </c:ser>
        <c:ser>
          <c:idx val="1"/>
          <c:order val="1"/>
          <c:tx>
            <c:strRef>
              <c:f>'2.04 Tableau 5'!$N$17</c:f>
              <c:strCache>
                <c:ptCount val="1"/>
                <c:pt idx="0">
                  <c:v>Effectifs Externes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5'!$L$18:$L$19</c:f>
              <c:strCache>
                <c:ptCount val="2"/>
                <c:pt idx="0">
                  <c:v>Public</c:v>
                </c:pt>
                <c:pt idx="1">
                  <c:v>Privé</c:v>
                </c:pt>
              </c:strCache>
            </c:strRef>
          </c:cat>
          <c:val>
            <c:numRef>
              <c:f>'2.04 Tableau 5'!$N$18:$N$19</c:f>
              <c:numCache>
                <c:formatCode>#,##0</c:formatCode>
                <c:ptCount val="2"/>
                <c:pt idx="0">
                  <c:v>4511</c:v>
                </c:pt>
                <c:pt idx="1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CA-4A92-9AAE-92B4DAE41D86}"/>
            </c:ext>
          </c:extLst>
        </c:ser>
        <c:ser>
          <c:idx val="2"/>
          <c:order val="2"/>
          <c:tx>
            <c:strRef>
              <c:f>'2.04 Tableau 5'!$O$17</c:f>
              <c:strCache>
                <c:ptCount val="1"/>
                <c:pt idx="0">
                  <c:v>Effectifs Internes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6282051282051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90-4488-8166-EC4799EF8BE5}"/>
                </c:ext>
              </c:extLst>
            </c:dLbl>
            <c:numFmt formatCode="#,##0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'2.04 Tableau 5'!$L$18:$L$19</c:f>
              <c:strCache>
                <c:ptCount val="2"/>
                <c:pt idx="0">
                  <c:v>Public</c:v>
                </c:pt>
                <c:pt idx="1">
                  <c:v>Privé</c:v>
                </c:pt>
              </c:strCache>
            </c:strRef>
          </c:cat>
          <c:val>
            <c:numRef>
              <c:f>'2.04 Tableau 5'!$O$18:$O$19</c:f>
              <c:numCache>
                <c:formatCode>#,##0</c:formatCode>
                <c:ptCount val="2"/>
                <c:pt idx="0">
                  <c:v>625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690-4488-8166-EC4799EF8B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445664"/>
        <c:axId val="253520"/>
      </c:barChart>
      <c:catAx>
        <c:axId val="128445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253520"/>
        <c:crosses val="autoZero"/>
        <c:auto val="1"/>
        <c:lblAlgn val="ctr"/>
        <c:lblOffset val="100"/>
        <c:noMultiLvlLbl val="0"/>
      </c:catAx>
      <c:valAx>
        <c:axId val="253520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84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0</xdr:row>
      <xdr:rowOff>190499</xdr:rowOff>
    </xdr:from>
    <xdr:to>
      <xdr:col>15</xdr:col>
      <xdr:colOff>547875</xdr:colOff>
      <xdr:row>13</xdr:row>
      <xdr:rowOff>186374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1AE6A62-B8A8-4B22-9C26-0F5A7DA06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1266823</xdr:colOff>
      <xdr:row>3</xdr:row>
      <xdr:rowOff>14287</xdr:rowOff>
    </xdr:from>
    <xdr:to>
      <xdr:col>14</xdr:col>
      <xdr:colOff>536623</xdr:colOff>
      <xdr:row>12</xdr:row>
      <xdr:rowOff>4537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4ED4AA-CE14-4A36-AF47-4FA14033A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1309687</xdr:colOff>
      <xdr:row>16</xdr:row>
      <xdr:rowOff>14287</xdr:rowOff>
    </xdr:from>
    <xdr:to>
      <xdr:col>14</xdr:col>
      <xdr:colOff>579487</xdr:colOff>
      <xdr:row>25</xdr:row>
      <xdr:rowOff>99787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796E4FA-6E7C-4C06-8DB5-F3D91A148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1164431</xdr:colOff>
      <xdr:row>6</xdr:row>
      <xdr:rowOff>23812</xdr:rowOff>
    </xdr:from>
    <xdr:to>
      <xdr:col>15</xdr:col>
      <xdr:colOff>539006</xdr:colOff>
      <xdr:row>15</xdr:row>
      <xdr:rowOff>61687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31182C9-CC6F-4FB4-9F65-CA2B15EE9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1221581</xdr:colOff>
      <xdr:row>16</xdr:row>
      <xdr:rowOff>90487</xdr:rowOff>
    </xdr:from>
    <xdr:to>
      <xdr:col>15</xdr:col>
      <xdr:colOff>596156</xdr:colOff>
      <xdr:row>26</xdr:row>
      <xdr:rowOff>80737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9E4E0BF-375A-4EB4-AB12-AC0799006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laboration%20des%20statistiques%20acad&#233;miques\Acad&#233;mie%20en%20chiffres\Documents%20de%20travail\2025%20Annuaires\Rep&#232;res%20et%20statistiques%20Corses%20R%202025-2026_v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erture"/>
      <sheetName val="Sommaire"/>
      <sheetName val="1.01 Notice"/>
      <sheetName val="1.01 Graph 1"/>
      <sheetName val="1.01 Tableau 2"/>
      <sheetName val="1.01 Tableau 3"/>
      <sheetName val="1.02 Notice"/>
      <sheetName val="1.02 Tableau 1 "/>
      <sheetName val="1.03 Notice"/>
      <sheetName val="1.03 Tableau 1"/>
      <sheetName val="1.04 Notice"/>
      <sheetName val="1.04 Graph 1 "/>
      <sheetName val="1.04 Graph 2 "/>
      <sheetName val="2.01 Notice"/>
      <sheetName val="2.01 Tableau 1"/>
      <sheetName val="2.01 Tableau 2"/>
      <sheetName val="2.01 Tableau 3"/>
      <sheetName val="2.01 Graph 4"/>
      <sheetName val="2.02 Notice"/>
      <sheetName val="2.02 Tableau 1"/>
      <sheetName val="2.02 Tableau 2"/>
      <sheetName val="2.02 Tableau 3"/>
      <sheetName val="2.03 Notice"/>
      <sheetName val="2.03 Tableau 1"/>
      <sheetName val="2.03 Tableau 2"/>
      <sheetName val="2.03 Tableau 3"/>
      <sheetName val="2.03 Tableau 4"/>
      <sheetName val="2.04 Notice"/>
      <sheetName val="2.04 Graph 1"/>
      <sheetName val="2.04 Tableau 2"/>
      <sheetName val="2.04 Tableau 3"/>
      <sheetName val="2.04 Tableau 4"/>
      <sheetName val="2.04 Tableau 5"/>
      <sheetName val="2.05 Notice"/>
      <sheetName val="2.05 Tableau 1"/>
      <sheetName val="2.06 Notice"/>
      <sheetName val="2.06 Tableau 1"/>
      <sheetName val="2.06 Tableau 2"/>
      <sheetName val="2.07 Notice "/>
      <sheetName val="2.07 Tableau 1 "/>
      <sheetName val="2.07 Tableau 2 "/>
      <sheetName val="2.07 Tableau 3 "/>
      <sheetName val="3.01 Notice"/>
      <sheetName val="3.01 Graphique 1 "/>
      <sheetName val="3.01 Tableau 2"/>
      <sheetName val="3.01 Tableau 3"/>
      <sheetName val="3.03 Notice"/>
      <sheetName val="3.03 Graph 1"/>
      <sheetName val="3.03 Tableau 2"/>
      <sheetName val="3.04 Notice"/>
      <sheetName val="3.04 Graph 1"/>
      <sheetName val="3.04 Tableau 2"/>
      <sheetName val="3.04 Carte 3"/>
      <sheetName val="3.05 Notice"/>
      <sheetName val="3.05 Graphique 1"/>
      <sheetName val="3.05 Tableau 2"/>
      <sheetName val="3.06 Notice"/>
      <sheetName val="3.06 Graph 1"/>
      <sheetName val="3.06 Graph 2"/>
      <sheetName val="4.01 Notice"/>
      <sheetName val="4.01 Graph 1"/>
      <sheetName val="4.01 Tableau 2"/>
      <sheetName val="4.01 Tableau 3"/>
      <sheetName val="4.02 Notice"/>
      <sheetName val="4.02 Tableau 1"/>
      <sheetName val="4.03 Notice"/>
      <sheetName val="4.03 Graph 1"/>
      <sheetName val="4.03 Tableau 2"/>
      <sheetName val="4.03 Tableau 3"/>
      <sheetName val="4.04 Notice"/>
      <sheetName val="4.04 Graph 1"/>
      <sheetName val="4.04 Tableau 2"/>
      <sheetName val="4.04 Graph 3"/>
      <sheetName val="4.05 Notice"/>
      <sheetName val="4.05 Graph 1"/>
      <sheetName val="4.05 Tableau 2"/>
      <sheetName val="4.05 Graph 3"/>
      <sheetName val="4.05 Tableau 4"/>
      <sheetName val="4.06 Notice"/>
      <sheetName val="4.06 Graph 1"/>
      <sheetName val="4.06 Tableau 2"/>
      <sheetName val="4.06 Tableau 3"/>
      <sheetName val="4.06 Tableau 4"/>
      <sheetName val="4.07 Notice"/>
      <sheetName val="4.07 tableau 1"/>
      <sheetName val="4.07 tableau 2"/>
      <sheetName val="4.08 Notice"/>
      <sheetName val="4.08 Graphique 1"/>
      <sheetName val="4.08 Tableau 2"/>
      <sheetName val="4.09 Notice"/>
      <sheetName val="4.09 Graphique 1"/>
      <sheetName val="4.09 Tableau 2"/>
      <sheetName val="4.10 Notice"/>
      <sheetName val="4.10 Graphique 1"/>
      <sheetName val="4.10 Tableau 2 "/>
      <sheetName val="4.10 Tableau 3"/>
      <sheetName val="4.10 Tableau 4"/>
      <sheetName val="4.11 Notice"/>
      <sheetName val="4.11 Graphique 1"/>
      <sheetName val="4.11 Tableau 2"/>
      <sheetName val="4.11 Tableau 3"/>
      <sheetName val="4.11 Carte 4"/>
      <sheetName val="4.12 Notice"/>
      <sheetName val="4.12 Graphique 1"/>
      <sheetName val="4.12 Tableau 2"/>
      <sheetName val="4.12 Tableau 3"/>
      <sheetName val="4.12 Tableau 4"/>
      <sheetName val="4.13 Notice"/>
      <sheetName val="4.13 Graphique 1 "/>
      <sheetName val="4.13 Tableau 2"/>
      <sheetName val="4.14 Notice "/>
      <sheetName val="4.14 Graphique 1"/>
      <sheetName val="4.14 Tableau 2 "/>
      <sheetName val="4.14 Tableau 3"/>
      <sheetName val="4.15 Notice"/>
      <sheetName val="4.15 Graphique 1"/>
      <sheetName val="4.15 Tableau 2"/>
      <sheetName val="4.15 Graphique 3"/>
      <sheetName val="4.16 Notice"/>
      <sheetName val="4.16 Tableau 1"/>
      <sheetName val="4.16 Tableau 2"/>
      <sheetName val="5.01 Notice"/>
      <sheetName val="5.01 Graphique 1"/>
      <sheetName val="5.01 Tableau 2"/>
      <sheetName val="5.01 Tableau 3"/>
      <sheetName val="5.01 Tableau 4"/>
      <sheetName val="5.01 Tableau 5"/>
      <sheetName val="5.01 Tableau 6"/>
      <sheetName val="5.01 Tableau 7"/>
      <sheetName val="5.02 Notice"/>
      <sheetName val="5.02 Graphique 1"/>
      <sheetName val="5.02 Tableau 2"/>
      <sheetName val="5.02 Graphique 3"/>
      <sheetName val="5.02 Graphique 4"/>
      <sheetName val="5.02 Graphique 5"/>
      <sheetName val="6.01 Notice"/>
      <sheetName val="6.01 Tableau 1"/>
      <sheetName val="6.02 Notice"/>
      <sheetName val="6.02 Graphique 1"/>
      <sheetName val="6.02 Tableau 2"/>
      <sheetName val="6.03 Notice"/>
      <sheetName val="6.03 Graphique 1"/>
      <sheetName val="6.03 Tableau 2"/>
      <sheetName val="6.03 Tableau 3"/>
      <sheetName val="6.04 Notice"/>
      <sheetName val="6.04 Graphique 1"/>
      <sheetName val="6.04 Tableau 1"/>
      <sheetName val="6.04 Tableau 2"/>
      <sheetName val="6.04 Tableau 3"/>
      <sheetName val="6.04 Tableau 4"/>
      <sheetName val="6.05 Notice"/>
      <sheetName val="6.05 Graphique 1"/>
      <sheetName val="6.05 Tableau 2"/>
      <sheetName val="6.05 Tableau 3"/>
      <sheetName val="6.06 Notice"/>
      <sheetName val="6.06 Graphique 1"/>
      <sheetName val="6.06 Tableau 2"/>
      <sheetName val="6.06 Tableau 3"/>
      <sheetName val="7. 01 Notice"/>
      <sheetName val="7.01 Tableau 1"/>
      <sheetName val="7.01 Tableau 2"/>
      <sheetName val="7.01 Tableau 3"/>
      <sheetName val="7.01 Tableau 4"/>
      <sheetName val="7.01 Graph 5"/>
      <sheetName val="7.02 Notice"/>
      <sheetName val="7.02 Graphique 1"/>
      <sheetName val="7.02 Tableau 2"/>
      <sheetName val="7.03 Notice"/>
      <sheetName val="7.03 Graphique 1"/>
      <sheetName val="7.03 Tableau 2"/>
      <sheetName val="7.04 Notice"/>
      <sheetName val="7.04 Graphique 1"/>
      <sheetName val="7.04 Tableau 2"/>
      <sheetName val="7.05 Notice"/>
      <sheetName val="7.05 Graphique 1"/>
      <sheetName val="7.05 Tableau 2"/>
      <sheetName val="7.05 Tableau 3"/>
      <sheetName val="8.01 Notice"/>
      <sheetName val="8.01 Tableau 1"/>
      <sheetName val="8.01 Tableau 2"/>
      <sheetName val="8.02 Notice"/>
      <sheetName val="8.02 Graphique 1"/>
      <sheetName val="8.02 Tableau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0">
          <cell r="E40">
            <v>0.68486727671481507</v>
          </cell>
          <cell r="F40">
            <v>0.31286394917946003</v>
          </cell>
          <cell r="G40">
            <v>2.2687741057248732E-3</v>
          </cell>
        </row>
      </sheetData>
      <sheetData sheetId="32">
        <row r="28">
          <cell r="F28">
            <v>0.37941306266548985</v>
          </cell>
          <cell r="G28">
            <v>0.55163283318623124</v>
          </cell>
          <cell r="H28">
            <v>6.8954104148278905E-2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tables/table1.xml><?xml version="1.0" encoding="utf-8"?>
<table xmlns="http://schemas.openxmlformats.org/spreadsheetml/2006/main" id="4" name="RSCTabCourbe_donnees" displayName="RSCTabCourbe_donnees" ref="A5:E8" totalsRowShown="0" headerRowDxfId="101" dataDxfId="99" totalsRowDxfId="98" headerRowBorderDxfId="100">
  <autoFilter ref="A5:E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Catégorie" dataDxfId="97" totalsRowDxfId="96"/>
    <tableColumn id="3" name="2022" dataDxfId="33" dataCellStyle="Pourcentage"/>
    <tableColumn id="4" name="2023" dataDxfId="32" dataCellStyle="Pourcentage 2"/>
    <tableColumn id="5" name="2024" dataDxfId="31" dataCellStyle="Normal 3"/>
    <tableColumn id="6" name="2025" dataDxfId="30" dataCellStyle="Normal 3"/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5" name="RSCTabX" displayName="RSCTabX" ref="A5:J17" headerRowDxfId="95" dataDxfId="93" totalsRowDxfId="92" headerRowBorderDxfId="94">
  <autoFilter ref="A5:J1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10">
    <tableColumn id="1" name="Secteur" totalsRowLabel="Total (1+2)" dataDxfId="91" totalsRowDxfId="90"/>
    <tableColumn id="9" name="Modes d'hébergement" dataDxfId="89" totalsRowDxfId="88"/>
    <tableColumn id="8" name="Effectifs 2022" totalsRowFunction="sum" dataDxfId="87" totalsRowDxfId="86" dataCellStyle="Pourcentage"/>
    <tableColumn id="10" name="% 2022" dataDxfId="85" totalsRowDxfId="84">
      <calculatedColumnFormula>#REF!/#REF!</calculatedColumnFormula>
    </tableColumn>
    <tableColumn id="11" name="Effectifs 2023" dataDxfId="83" totalsRowDxfId="82"/>
    <tableColumn id="12" name="% 2023" dataDxfId="81" totalsRowDxfId="80" dataCellStyle="Pourcentage"/>
    <tableColumn id="13" name="Effectifs 2024" dataDxfId="79" totalsRowDxfId="78"/>
    <tableColumn id="14" name="% 2024" dataDxfId="77" totalsRowDxfId="76"/>
    <tableColumn id="2" name="Effectifs 2025" dataDxfId="22" totalsRowDxfId="21"/>
    <tableColumn id="3" name="% 2025" dataDxfId="19" totalsRowDxfId="20"/>
  </tableColumns>
  <tableStyleInfo name="Style TAB" showFirstColumn="0" showLastColumn="0" showRowStripes="0" showColumnStripes="0"/>
</table>
</file>

<file path=xl/tables/table3.xml><?xml version="1.0" encoding="utf-8"?>
<table xmlns="http://schemas.openxmlformats.org/spreadsheetml/2006/main" id="1" name="RSCTabX2" displayName="RSCTabX2" ref="A5:G15" headerRowDxfId="75" dataDxfId="73" totalsRowDxfId="72" headerRowBorderDxfId="74">
  <autoFilter ref="A5:G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Secteur" totalsRowLabel="Total (1+2)" dataDxfId="71" totalsRowDxfId="70"/>
    <tableColumn id="9" name="Modes d'hébergement" dataDxfId="69" totalsRowDxfId="68"/>
    <tableColumn id="3" name="Collège" totalsRowFunction="sum" dataDxfId="67" totalsRowDxfId="66" dataCellStyle="Pourcentage"/>
    <tableColumn id="5" name="EREA" totalsRowFunction="sum" dataDxfId="65" totalsRowDxfId="64" dataCellStyle="Pourcentage"/>
    <tableColumn id="7" name="LP" totalsRowFunction="sum" dataDxfId="63" totalsRowDxfId="62" dataCellStyle="Pourcentage"/>
    <tableColumn id="10" name="LEGT" dataDxfId="61" totalsRowDxfId="60">
      <calculatedColumnFormula>#REF!/#REF!</calculatedColumnFormula>
    </tableColumn>
    <tableColumn id="12" name="Total" dataDxfId="59" totalsRowDxfId="58" dataCellStyle="Pourcentage"/>
  </tableColumns>
  <tableStyleInfo name="Style TAB" showFirstColumn="0" showLastColumn="0" showRowStripes="0" showColumnStripes="0"/>
</table>
</file>

<file path=xl/tables/table4.xml><?xml version="1.0" encoding="utf-8"?>
<table xmlns="http://schemas.openxmlformats.org/spreadsheetml/2006/main" id="2" name="HebergementClg" displayName="HebergementClg" ref="A5:I37" totalsRowCount="1" headerRowDxfId="57" dataDxfId="56" totalsRowDxfId="55" headerRowCellStyle="Normal 2 2">
  <autoFilter ref="A5:I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ref="A6:D36">
    <sortCondition ref="B5:B36"/>
  </sortState>
  <tableColumns count="9">
    <tableColumn id="9" name="Département" totalsRowLabel="Total" dataDxfId="54" totalsRowDxfId="18" dataCellStyle="Normal 2 2"/>
    <tableColumn id="1" name="RNE" dataDxfId="53" totalsRowDxfId="17" dataCellStyle="Normal 2 2"/>
    <tableColumn id="2" name="Secteur" dataDxfId="52" totalsRowDxfId="16" dataCellStyle="Normal 2 2"/>
    <tableColumn id="3" name="NOM" dataDxfId="51" totalsRowDxfId="15" dataCellStyle="Normal 2 2"/>
    <tableColumn id="4" name="Effectifs Demi-pensionnaires" totalsRowFunction="sum" dataDxfId="50" totalsRowDxfId="14"/>
    <tableColumn id="5" name="Effectifs Externes" totalsRowFunction="sum" dataDxfId="49" totalsRowDxfId="13"/>
    <tableColumn id="6" name="Effectifs Internes" totalsRowFunction="sum" dataDxfId="48" totalsRowDxfId="12"/>
    <tableColumn id="7" name="Total" totalsRowFunction="sum" dataDxfId="47" totalsRowDxfId="11">
      <calculatedColumnFormula>SUM(HebergementClg[[#This Row],[Effectifs Demi-pensionnaires]:[Effectifs Internes]])</calculatedColumnFormula>
    </tableColumn>
    <tableColumn id="8" name="% Demi-pensionnaires" totalsRowFunction="custom" dataDxfId="46" totalsRowDxfId="10">
      <calculatedColumnFormula>HebergementClg[[#This Row],[Effectifs Demi-pensionnaires]]/HebergementClg[[#This Row],[Total]]</calculatedColumnFormula>
      <totalsRowFormula>HebergementClg[[#Totals],[Effectifs Demi-pensionnaires]]/HebergementClg[[#Totals],[Total]]</totalsRowFormula>
    </tableColumn>
  </tableColumns>
  <tableStyleInfo name="Style TAB" showFirstColumn="0" showLastColumn="0" showRowStripes="1" showColumnStripes="0"/>
</table>
</file>

<file path=xl/tables/table5.xml><?xml version="1.0" encoding="utf-8"?>
<table xmlns="http://schemas.openxmlformats.org/spreadsheetml/2006/main" id="3" name="HébergementLycée" displayName="HébergementLycée" ref="A8:J25" totalsRowCount="1" headerRowDxfId="45" dataDxfId="44" headerRowCellStyle="Normal 2 2" dataCellStyle="Normal 2 2">
  <autoFilter ref="A8:J2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sortState ref="A9:E24">
    <sortCondition ref="B8:B24"/>
  </sortState>
  <tableColumns count="10">
    <tableColumn id="1" name="Département" totalsRowLabel="Total" dataDxfId="43" totalsRowDxfId="9" dataCellStyle="Normal 2 2"/>
    <tableColumn id="2" name="RNE" dataDxfId="42" totalsRowDxfId="8" dataCellStyle="Normal 2 2"/>
    <tableColumn id="3" name="Secteur" dataDxfId="41" totalsRowDxfId="7" dataCellStyle="Normal 2 2"/>
    <tableColumn id="13" name="Type" dataDxfId="40" totalsRowDxfId="6" dataCellStyle="Normal 2 2"/>
    <tableColumn id="4" name="NOM" dataDxfId="39" totalsRowDxfId="5" dataCellStyle="Normal 2 2"/>
    <tableColumn id="5" name="Effectifs Demi-pensionnaires" totalsRowFunction="sum" dataDxfId="38" totalsRowDxfId="4" dataCellStyle="Normal 2 2"/>
    <tableColumn id="6" name="Effectifs Externes" totalsRowFunction="sum" dataDxfId="37" totalsRowDxfId="3" dataCellStyle="Normal 2 2"/>
    <tableColumn id="7" name="Effectifs Internes" totalsRowFunction="sum" dataDxfId="36" totalsRowDxfId="2" dataCellStyle="Normal 2 2"/>
    <tableColumn id="8" name="Total" totalsRowFunction="sum" dataDxfId="35" totalsRowDxfId="1" dataCellStyle="Normal 2 2">
      <calculatedColumnFormula>SUM(HébergementLycée[[#This Row],[Effectifs Demi-pensionnaires]:[Effectifs Internes]])</calculatedColumnFormula>
    </tableColumn>
    <tableColumn id="9" name="% Demi-pensionnaires" totalsRowFunction="custom" dataDxfId="34" totalsRowDxfId="0" dataCellStyle="Pourcentage">
      <calculatedColumnFormula>HébergementLycée[[#This Row],[Effectifs Demi-pensionnaires]]/HébergementLycée[[#This Row],[Total]]</calculatedColumnFormula>
      <totalsRowFormula>HébergementLycée[[#Totals],[Effectifs Demi-pensionnaires]]/HébergementLycée[[#Totals],[Total]]</totalsRowFormula>
    </tableColumn>
  </tableColumns>
  <tableStyleInfo name="Style TAB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6"/>
  <sheetViews>
    <sheetView showGridLines="0" zoomScaleNormal="100" zoomScaleSheetLayoutView="110" workbookViewId="0">
      <selection activeCell="A4" sqref="A4"/>
    </sheetView>
  </sheetViews>
  <sheetFormatPr baseColWidth="10" defaultRowHeight="12.75" x14ac:dyDescent="0.2"/>
  <cols>
    <col min="1" max="1" width="91.28515625" style="84" customWidth="1"/>
    <col min="2" max="16384" width="11.42578125" style="84"/>
  </cols>
  <sheetData>
    <row r="1" spans="1:1" x14ac:dyDescent="0.2">
      <c r="A1" s="83" t="s">
        <v>154</v>
      </c>
    </row>
    <row r="2" spans="1:1" x14ac:dyDescent="0.2">
      <c r="A2" s="85" t="s">
        <v>16</v>
      </c>
    </row>
    <row r="3" spans="1:1" x14ac:dyDescent="0.2">
      <c r="A3" s="86">
        <v>45971</v>
      </c>
    </row>
    <row r="4" spans="1:1" ht="20.25" thickBot="1" x14ac:dyDescent="0.25">
      <c r="A4" s="64" t="s">
        <v>2</v>
      </c>
    </row>
    <row r="5" spans="1:1" ht="13.5" thickTop="1" x14ac:dyDescent="0.2"/>
    <row r="6" spans="1:1" ht="25.5" x14ac:dyDescent="0.2">
      <c r="A6" s="1" t="s">
        <v>3</v>
      </c>
    </row>
    <row r="7" spans="1:1" x14ac:dyDescent="0.2">
      <c r="A7" s="2" t="s">
        <v>1</v>
      </c>
    </row>
    <row r="9" spans="1:1" s="87" customFormat="1" ht="17.25" thickBot="1" x14ac:dyDescent="0.25">
      <c r="A9" s="19" t="s">
        <v>20</v>
      </c>
    </row>
    <row r="10" spans="1:1" s="87" customFormat="1" ht="13.5" thickTop="1" x14ac:dyDescent="0.2">
      <c r="A10" s="88"/>
    </row>
    <row r="11" spans="1:1" s="87" customFormat="1" x14ac:dyDescent="0.2">
      <c r="A11" s="88"/>
    </row>
    <row r="12" spans="1:1" s="87" customFormat="1" x14ac:dyDescent="0.2">
      <c r="A12" s="88"/>
    </row>
    <row r="13" spans="1:1" s="87" customFormat="1" x14ac:dyDescent="0.2"/>
    <row r="14" spans="1:1" s="87" customFormat="1" ht="15" customHeight="1" x14ac:dyDescent="0.2">
      <c r="A14" s="15" t="s">
        <v>4</v>
      </c>
    </row>
    <row r="15" spans="1:1" s="89" customFormat="1" ht="15" customHeight="1" x14ac:dyDescent="0.2">
      <c r="A15" s="22" t="s">
        <v>21</v>
      </c>
    </row>
    <row r="16" spans="1:1" s="89" customFormat="1" ht="15" customHeight="1" x14ac:dyDescent="0.2">
      <c r="A16" s="22" t="s">
        <v>22</v>
      </c>
    </row>
    <row r="17" spans="1:1" s="89" customFormat="1" ht="22.5" x14ac:dyDescent="0.2">
      <c r="A17" s="90" t="s">
        <v>158</v>
      </c>
    </row>
    <row r="18" spans="1:1" s="87" customFormat="1" x14ac:dyDescent="0.2">
      <c r="A18" s="90" t="s">
        <v>159</v>
      </c>
    </row>
    <row r="19" spans="1:1" s="87" customFormat="1" x14ac:dyDescent="0.2">
      <c r="A19" s="90" t="s">
        <v>160</v>
      </c>
    </row>
    <row r="20" spans="1:1" s="87" customFormat="1" x14ac:dyDescent="0.2">
      <c r="A20" s="91"/>
    </row>
    <row r="21" spans="1:1" s="87" customFormat="1" x14ac:dyDescent="0.2">
      <c r="A21" s="91"/>
    </row>
    <row r="22" spans="1:1" s="87" customFormat="1" x14ac:dyDescent="0.2">
      <c r="A22" s="91"/>
    </row>
    <row r="23" spans="1:1" s="87" customFormat="1" ht="35.1" customHeight="1" x14ac:dyDescent="0.2">
      <c r="A23" s="16" t="s">
        <v>5</v>
      </c>
    </row>
    <row r="24" spans="1:1" s="87" customFormat="1" ht="33.75" x14ac:dyDescent="0.2">
      <c r="A24" s="38" t="s">
        <v>23</v>
      </c>
    </row>
    <row r="25" spans="1:1" s="87" customFormat="1" x14ac:dyDescent="0.2">
      <c r="A25" s="23"/>
    </row>
    <row r="26" spans="1:1" s="87" customFormat="1" ht="35.1" customHeight="1" x14ac:dyDescent="0.2">
      <c r="A26" s="17" t="s">
        <v>0</v>
      </c>
    </row>
    <row r="27" spans="1:1" s="87" customFormat="1" x14ac:dyDescent="0.2">
      <c r="A27" s="18" t="s">
        <v>17</v>
      </c>
    </row>
    <row r="28" spans="1:1" s="87" customFormat="1" x14ac:dyDescent="0.2"/>
    <row r="29" spans="1:1" s="87" customFormat="1" ht="22.5" x14ac:dyDescent="0.2">
      <c r="A29" s="18" t="s">
        <v>6</v>
      </c>
    </row>
    <row r="30" spans="1:1" s="87" customFormat="1" x14ac:dyDescent="0.2">
      <c r="A30" s="89"/>
    </row>
    <row r="31" spans="1:1" s="87" customFormat="1" x14ac:dyDescent="0.2">
      <c r="A31" s="16" t="s">
        <v>7</v>
      </c>
    </row>
    <row r="32" spans="1:1" s="87" customFormat="1" x14ac:dyDescent="0.2">
      <c r="A32" s="89"/>
    </row>
    <row r="33" spans="1:1" s="87" customFormat="1" x14ac:dyDescent="0.2">
      <c r="A33" s="89" t="s">
        <v>8</v>
      </c>
    </row>
    <row r="34" spans="1:1" s="87" customFormat="1" x14ac:dyDescent="0.2">
      <c r="A34" s="92" t="s">
        <v>14</v>
      </c>
    </row>
    <row r="35" spans="1:1" s="87" customFormat="1" x14ac:dyDescent="0.2">
      <c r="A35" s="89" t="s">
        <v>9</v>
      </c>
    </row>
    <row r="36" spans="1:1" s="87" customFormat="1" x14ac:dyDescent="0.2">
      <c r="A36" s="89" t="s">
        <v>10</v>
      </c>
    </row>
    <row r="37" spans="1:1" s="87" customFormat="1" x14ac:dyDescent="0.2"/>
    <row r="38" spans="1:1" s="87" customFormat="1" x14ac:dyDescent="0.2"/>
    <row r="39" spans="1:1" s="87" customFormat="1" x14ac:dyDescent="0.2"/>
    <row r="40" spans="1:1" s="87" customFormat="1" x14ac:dyDescent="0.2"/>
    <row r="41" spans="1:1" s="87" customFormat="1" x14ac:dyDescent="0.2"/>
    <row r="42" spans="1:1" s="87" customFormat="1" x14ac:dyDescent="0.2"/>
    <row r="43" spans="1:1" s="87" customFormat="1" x14ac:dyDescent="0.2"/>
    <row r="44" spans="1:1" s="87" customFormat="1" x14ac:dyDescent="0.2"/>
    <row r="45" spans="1:1" s="87" customFormat="1" x14ac:dyDescent="0.2"/>
    <row r="46" spans="1:1" s="87" customFormat="1" x14ac:dyDescent="0.2"/>
    <row r="47" spans="1:1" s="87" customFormat="1" x14ac:dyDescent="0.2"/>
    <row r="48" spans="1:1" s="87" customFormat="1" x14ac:dyDescent="0.2"/>
    <row r="49" s="87" customFormat="1" x14ac:dyDescent="0.2"/>
    <row r="50" s="87" customFormat="1" x14ac:dyDescent="0.2"/>
    <row r="51" s="87" customFormat="1" x14ac:dyDescent="0.2"/>
    <row r="52" s="87" customFormat="1" x14ac:dyDescent="0.2"/>
    <row r="53" s="87" customFormat="1" x14ac:dyDescent="0.2"/>
    <row r="54" s="87" customFormat="1" x14ac:dyDescent="0.2"/>
    <row r="55" s="87" customFormat="1" x14ac:dyDescent="0.2"/>
    <row r="56" s="87" customFormat="1" x14ac:dyDescent="0.2"/>
    <row r="57" s="87" customFormat="1" x14ac:dyDescent="0.2"/>
    <row r="58" s="87" customFormat="1" x14ac:dyDescent="0.2"/>
    <row r="59" s="87" customFormat="1" x14ac:dyDescent="0.2"/>
    <row r="60" s="87" customFormat="1" x14ac:dyDescent="0.2"/>
    <row r="61" s="87" customFormat="1" x14ac:dyDescent="0.2"/>
    <row r="62" s="87" customFormat="1" x14ac:dyDescent="0.2"/>
    <row r="63" s="87" customFormat="1" x14ac:dyDescent="0.2"/>
    <row r="64" s="87" customFormat="1" x14ac:dyDescent="0.2"/>
    <row r="65" s="87" customFormat="1" x14ac:dyDescent="0.2"/>
    <row r="66" s="87" customFormat="1" x14ac:dyDescent="0.2"/>
    <row r="67" s="87" customFormat="1" x14ac:dyDescent="0.2"/>
    <row r="68" s="87" customFormat="1" x14ac:dyDescent="0.2"/>
    <row r="69" s="87" customFormat="1" x14ac:dyDescent="0.2"/>
    <row r="70" s="87" customFormat="1" x14ac:dyDescent="0.2"/>
    <row r="71" s="87" customFormat="1" x14ac:dyDescent="0.2"/>
    <row r="72" s="87" customFormat="1" x14ac:dyDescent="0.2"/>
    <row r="73" s="87" customFormat="1" x14ac:dyDescent="0.2"/>
    <row r="74" s="87" customFormat="1" x14ac:dyDescent="0.2"/>
    <row r="75" s="87" customFormat="1" x14ac:dyDescent="0.2"/>
    <row r="76" s="87" customFormat="1" x14ac:dyDescent="0.2"/>
    <row r="77" s="87" customFormat="1" x14ac:dyDescent="0.2"/>
    <row r="78" s="87" customFormat="1" x14ac:dyDescent="0.2"/>
    <row r="79" s="87" customFormat="1" x14ac:dyDescent="0.2"/>
    <row r="80" s="87" customFormat="1" x14ac:dyDescent="0.2"/>
    <row r="81" spans="1:1" s="87" customFormat="1" x14ac:dyDescent="0.2"/>
    <row r="82" spans="1:1" s="87" customFormat="1" x14ac:dyDescent="0.2"/>
    <row r="83" spans="1:1" s="87" customFormat="1" x14ac:dyDescent="0.2"/>
    <row r="84" spans="1:1" s="87" customFormat="1" x14ac:dyDescent="0.2"/>
    <row r="85" spans="1:1" x14ac:dyDescent="0.2">
      <c r="A85" s="87"/>
    </row>
    <row r="86" spans="1:1" x14ac:dyDescent="0.2">
      <c r="A86" s="87"/>
    </row>
    <row r="87" spans="1:1" x14ac:dyDescent="0.2">
      <c r="A87" s="87"/>
    </row>
    <row r="88" spans="1:1" x14ac:dyDescent="0.2">
      <c r="A88" s="87"/>
    </row>
    <row r="89" spans="1:1" x14ac:dyDescent="0.2">
      <c r="A89" s="87"/>
    </row>
    <row r="90" spans="1:1" x14ac:dyDescent="0.2">
      <c r="A90" s="87"/>
    </row>
    <row r="91" spans="1:1" x14ac:dyDescent="0.2">
      <c r="A91" s="87"/>
    </row>
    <row r="92" spans="1:1" x14ac:dyDescent="0.2">
      <c r="A92" s="87"/>
    </row>
    <row r="93" spans="1:1" x14ac:dyDescent="0.2">
      <c r="A93" s="87"/>
    </row>
    <row r="94" spans="1:1" x14ac:dyDescent="0.2">
      <c r="A94" s="87"/>
    </row>
    <row r="95" spans="1:1" x14ac:dyDescent="0.2">
      <c r="A95" s="87"/>
    </row>
    <row r="96" spans="1:1" x14ac:dyDescent="0.2">
      <c r="A96" s="87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4"/>
  <sheetViews>
    <sheetView showGridLines="0" topLeftCell="E1" zoomScaleNormal="100" zoomScaleSheetLayoutView="100" workbookViewId="0">
      <selection activeCell="E15" sqref="E15"/>
    </sheetView>
  </sheetViews>
  <sheetFormatPr baseColWidth="10" defaultRowHeight="0" customHeight="1" zeroHeight="1" x14ac:dyDescent="0.2"/>
  <cols>
    <col min="1" max="1" width="43.7109375" style="81" customWidth="1"/>
    <col min="2" max="5" width="10.7109375" style="25" customWidth="1"/>
    <col min="6" max="6" width="2" style="21" customWidth="1"/>
    <col min="7" max="7" width="10.7109375" style="21" customWidth="1"/>
    <col min="8" max="16384" width="11.42578125" style="21"/>
  </cols>
  <sheetData>
    <row r="1" spans="1:7" ht="17.25" thickBot="1" x14ac:dyDescent="0.25">
      <c r="A1" s="20" t="str">
        <f>'2.04 Notice'!A9</f>
        <v>2.04 L’hébergement des élèves dans les établissements du second degré</v>
      </c>
      <c r="B1" s="40"/>
      <c r="C1" s="40"/>
      <c r="D1" s="40"/>
      <c r="E1" s="40"/>
    </row>
    <row r="2" spans="1:7" ht="13.5" thickTop="1" x14ac:dyDescent="0.2"/>
    <row r="3" spans="1:7" ht="15" customHeight="1" x14ac:dyDescent="0.2">
      <c r="A3" s="97" t="str">
        <f>'2.04 Notice'!A15</f>
        <v>[1] Évolution de la répartition des élèves selon leur mode d'hébergement</v>
      </c>
    </row>
    <row r="4" spans="1:7" ht="15" customHeight="1" x14ac:dyDescent="0.2"/>
    <row r="5" spans="1:7" ht="15" customHeight="1" x14ac:dyDescent="0.2">
      <c r="A5" s="3" t="s">
        <v>11</v>
      </c>
      <c r="B5" s="111" t="s">
        <v>15</v>
      </c>
      <c r="C5" s="112" t="s">
        <v>19</v>
      </c>
      <c r="D5" s="113" t="s">
        <v>150</v>
      </c>
      <c r="E5" s="113" t="s">
        <v>155</v>
      </c>
    </row>
    <row r="6" spans="1:7" ht="15" customHeight="1" x14ac:dyDescent="0.2">
      <c r="A6" s="11" t="s">
        <v>26</v>
      </c>
      <c r="B6" s="114">
        <v>0.49399999999999999</v>
      </c>
      <c r="C6" s="114">
        <v>0.52838768351305698</v>
      </c>
      <c r="D6" s="115">
        <v>0.54378232516303127</v>
      </c>
      <c r="E6" s="115">
        <v>0.55822970985425857</v>
      </c>
    </row>
    <row r="7" spans="1:7" ht="15" customHeight="1" x14ac:dyDescent="0.2">
      <c r="A7" s="11" t="s">
        <v>27</v>
      </c>
      <c r="B7" s="116">
        <v>0.47599999999999998</v>
      </c>
      <c r="C7" s="114">
        <v>0.44307305876748515</v>
      </c>
      <c r="D7" s="115">
        <v>0.42675961322239714</v>
      </c>
      <c r="E7" s="115">
        <v>0.40919017693987608</v>
      </c>
    </row>
    <row r="8" spans="1:7" ht="15" customHeight="1" x14ac:dyDescent="0.2">
      <c r="A8" s="11" t="s">
        <v>28</v>
      </c>
      <c r="B8" s="114">
        <v>0.03</v>
      </c>
      <c r="C8" s="114">
        <v>2.8539257719457797E-2</v>
      </c>
      <c r="D8" s="115">
        <v>2.945806161457162E-2</v>
      </c>
      <c r="E8" s="115">
        <v>3.2580113205865312E-2</v>
      </c>
    </row>
    <row r="9" spans="1:7" ht="15" customHeight="1" x14ac:dyDescent="0.2">
      <c r="A9" s="10"/>
      <c r="B9" s="10"/>
      <c r="C9" s="7"/>
      <c r="D9" s="7"/>
      <c r="E9" s="7"/>
      <c r="F9" s="7"/>
    </row>
    <row r="10" spans="1:7" ht="15" customHeight="1" x14ac:dyDescent="0.2">
      <c r="A10" s="26" t="s">
        <v>149</v>
      </c>
      <c r="B10" s="10"/>
      <c r="C10" s="12"/>
      <c r="D10" s="12"/>
      <c r="E10" s="12"/>
      <c r="F10" s="12"/>
    </row>
    <row r="11" spans="1:7" ht="15" customHeight="1" x14ac:dyDescent="0.2">
      <c r="A11" s="24"/>
      <c r="B11" s="29"/>
      <c r="C11" s="30"/>
      <c r="D11" s="30"/>
      <c r="E11" s="30"/>
      <c r="F11" s="31"/>
    </row>
    <row r="12" spans="1:7" ht="15" customHeight="1" x14ac:dyDescent="0.2">
      <c r="A12" s="35" t="s">
        <v>25</v>
      </c>
    </row>
    <row r="13" spans="1:7" ht="15" customHeight="1" x14ac:dyDescent="0.2">
      <c r="A13" s="21"/>
      <c r="B13" s="32"/>
      <c r="C13" s="33"/>
      <c r="D13" s="32"/>
      <c r="E13" s="27"/>
      <c r="F13" s="28"/>
    </row>
    <row r="14" spans="1:7" s="5" customFormat="1" ht="15" customHeight="1" x14ac:dyDescent="0.2">
      <c r="B14" s="34"/>
      <c r="C14" s="34"/>
      <c r="D14" s="34"/>
      <c r="E14" s="25"/>
      <c r="F14" s="21"/>
      <c r="G14" s="21"/>
    </row>
    <row r="15" spans="1:7" ht="15" customHeight="1" x14ac:dyDescent="0.2">
      <c r="A15" s="21"/>
    </row>
    <row r="16" spans="1:7" s="28" customFormat="1" ht="15" customHeight="1" x14ac:dyDescent="0.2">
      <c r="A16" s="36"/>
      <c r="B16" s="25"/>
      <c r="C16" s="25"/>
      <c r="D16" s="25"/>
      <c r="E16" s="25"/>
      <c r="F16" s="21"/>
    </row>
    <row r="17" spans="1:7" ht="15" customHeight="1" x14ac:dyDescent="0.2">
      <c r="A17" s="35"/>
    </row>
    <row r="18" spans="1:7" ht="15" customHeight="1" x14ac:dyDescent="0.2"/>
    <row r="19" spans="1:7" ht="15" customHeight="1" x14ac:dyDescent="0.2"/>
    <row r="20" spans="1:7" ht="15" customHeight="1" x14ac:dyDescent="0.2"/>
    <row r="21" spans="1:7" s="5" customFormat="1" ht="15" customHeight="1" x14ac:dyDescent="0.2">
      <c r="A21" s="81"/>
      <c r="B21" s="25"/>
      <c r="C21" s="25"/>
      <c r="D21" s="25"/>
      <c r="E21" s="25"/>
      <c r="F21" s="21"/>
      <c r="G21" s="21"/>
    </row>
    <row r="22" spans="1:7" ht="15" customHeight="1" x14ac:dyDescent="0.2"/>
    <row r="23" spans="1:7" ht="15" customHeight="1" x14ac:dyDescent="0.2"/>
    <row r="24" spans="1:7" ht="15" customHeight="1" x14ac:dyDescent="0.2"/>
    <row r="25" spans="1:7" ht="15" customHeight="1" x14ac:dyDescent="0.2"/>
    <row r="26" spans="1:7" ht="15" customHeight="1" x14ac:dyDescent="0.2"/>
    <row r="27" spans="1:7" ht="15" customHeight="1" x14ac:dyDescent="0.2"/>
    <row r="28" spans="1:7" ht="15" customHeight="1" x14ac:dyDescent="0.2"/>
    <row r="29" spans="1:7" s="5" customFormat="1" ht="15" customHeight="1" x14ac:dyDescent="0.2">
      <c r="A29" s="81"/>
      <c r="B29" s="25"/>
      <c r="C29" s="25"/>
      <c r="D29" s="25"/>
      <c r="E29" s="25"/>
      <c r="F29" s="21"/>
      <c r="G29" s="21"/>
    </row>
    <row r="30" spans="1:7" ht="15" customHeight="1" x14ac:dyDescent="0.2"/>
    <row r="31" spans="1:7" ht="15" customHeight="1" x14ac:dyDescent="0.2"/>
    <row r="32" spans="1:7" ht="15" customHeight="1" x14ac:dyDescent="0.2"/>
    <row r="33" spans="1:7" ht="15" customHeight="1" x14ac:dyDescent="0.2"/>
    <row r="34" spans="1:7" ht="15" customHeight="1" x14ac:dyDescent="0.2"/>
    <row r="35" spans="1:7" ht="15" customHeight="1" x14ac:dyDescent="0.2"/>
    <row r="36" spans="1:7" ht="15" customHeight="1" x14ac:dyDescent="0.2"/>
    <row r="37" spans="1:7" ht="15" customHeight="1" x14ac:dyDescent="0.2"/>
    <row r="38" spans="1:7" ht="15" customHeight="1" x14ac:dyDescent="0.2"/>
    <row r="39" spans="1:7" ht="15" customHeight="1" x14ac:dyDescent="0.2"/>
    <row r="40" spans="1:7" ht="15" customHeight="1" x14ac:dyDescent="0.2"/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s="5" customFormat="1" ht="15" customHeight="1" x14ac:dyDescent="0.2">
      <c r="A45" s="81"/>
      <c r="B45" s="25"/>
      <c r="C45" s="25"/>
      <c r="D45" s="25"/>
      <c r="E45" s="25"/>
      <c r="F45" s="21"/>
      <c r="G45" s="21"/>
    </row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hidden="1" customHeight="1" x14ac:dyDescent="0.2"/>
    <row r="313" ht="0" hidden="1" customHeight="1" x14ac:dyDescent="0.2"/>
    <row r="314" ht="0" hidden="1" customHeight="1" x14ac:dyDescent="0.2"/>
  </sheetData>
  <printOptions horizontalCentered="1" verticalCentered="1"/>
  <pageMargins left="0.15748031496062992" right="0.19685039370078741" top="0" bottom="0" header="0.31496062992125984" footer="0.31496062992125984"/>
  <pageSetup paperSize="9" scale="79" orientation="landscape" r:id="rId1"/>
  <headerFooter alignWithMargins="0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C80A0A9-E2ED-462D-8B41-BAC29829F40F}">
            <x14:iconSet iconSet="3Triangles">
              <x14:cfvo type="percent">
                <xm:f>0</xm:f>
              </x14:cfvo>
              <x14:cfvo type="percent">
                <xm:f>$E$6</xm:f>
              </x14:cfvo>
              <x14:cfvo type="percent">
                <xm:f>$E$6</xm:f>
              </x14:cfvo>
            </x14:iconSet>
          </x14:cfRule>
          <xm:sqref>F6</xm:sqref>
        </x14:conditionalFormatting>
        <x14:conditionalFormatting xmlns:xm="http://schemas.microsoft.com/office/excel/2006/main">
          <x14:cfRule type="iconSet" priority="1" id="{B3F72063-F377-456D-B85C-B89B67B8E26F}">
            <x14:iconSet iconSet="3Triangles">
              <x14:cfvo type="percent">
                <xm:f>0</xm:f>
              </x14:cfvo>
              <x14:cfvo type="percent">
                <xm:f>$C$9</xm:f>
              </x14:cfvo>
              <x14:cfvo type="percent">
                <xm:f>$C$8</xm:f>
              </x14:cfvo>
            </x14:iconSet>
          </x14:cfRule>
          <xm:sqref>C6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3"/>
  <sheetViews>
    <sheetView showGridLines="0" zoomScaleNormal="100" zoomScaleSheetLayoutView="100" workbookViewId="0">
      <selection activeCell="K10" sqref="K10"/>
    </sheetView>
  </sheetViews>
  <sheetFormatPr baseColWidth="10" defaultRowHeight="12.75" zeroHeight="1" x14ac:dyDescent="0.2"/>
  <cols>
    <col min="1" max="1" width="21.28515625" style="41" customWidth="1"/>
    <col min="2" max="2" width="14.5703125" style="42" bestFit="1" customWidth="1"/>
    <col min="3" max="6" width="10.7109375" style="4" customWidth="1"/>
    <col min="7" max="7" width="7.7109375" style="4" customWidth="1"/>
    <col min="8" max="8" width="11.42578125" style="4"/>
    <col min="9" max="9" width="9" style="4" customWidth="1"/>
    <col min="10" max="10" width="8.5703125" style="4" customWidth="1"/>
    <col min="11" max="16384" width="11.42578125" style="4"/>
  </cols>
  <sheetData>
    <row r="1" spans="1:10" ht="17.25" thickBot="1" x14ac:dyDescent="0.25">
      <c r="A1" s="20" t="str">
        <f>'2.04 Notice'!A9</f>
        <v>2.04 L’hébergement des élèves dans les établissements du second degré</v>
      </c>
      <c r="B1" s="40"/>
    </row>
    <row r="2" spans="1:10" ht="13.5" thickTop="1" x14ac:dyDescent="0.2"/>
    <row r="3" spans="1:10" s="5" customFormat="1" ht="15.75" customHeight="1" x14ac:dyDescent="0.2">
      <c r="A3" s="97" t="str">
        <f>'2.04 Notice'!A16</f>
        <v>[2] Évolution des modes d'hébergement des élèves du second degré</v>
      </c>
      <c r="E3" s="4"/>
    </row>
    <row r="4" spans="1:10" x14ac:dyDescent="0.2"/>
    <row r="5" spans="1:10" ht="22.5" x14ac:dyDescent="0.2">
      <c r="A5" s="3" t="s">
        <v>29</v>
      </c>
      <c r="B5" s="3" t="s">
        <v>30</v>
      </c>
      <c r="C5" s="109" t="s">
        <v>35</v>
      </c>
      <c r="D5" s="100" t="s">
        <v>36</v>
      </c>
      <c r="E5" s="109" t="s">
        <v>37</v>
      </c>
      <c r="F5" s="100" t="s">
        <v>38</v>
      </c>
      <c r="G5" s="109" t="s">
        <v>151</v>
      </c>
      <c r="H5" s="100" t="s">
        <v>152</v>
      </c>
      <c r="I5" s="109" t="s">
        <v>156</v>
      </c>
      <c r="J5" s="118" t="s">
        <v>157</v>
      </c>
    </row>
    <row r="6" spans="1:10" ht="15" customHeight="1" x14ac:dyDescent="0.2">
      <c r="A6" s="11" t="s">
        <v>31</v>
      </c>
      <c r="B6" s="11" t="s">
        <v>26</v>
      </c>
      <c r="C6" s="9">
        <v>11232</v>
      </c>
      <c r="D6" s="13">
        <f>RSCTabX[[#This Row],[Effectifs 2022]]/$C$9</f>
        <v>0.52883845755449876</v>
      </c>
      <c r="E6" s="9">
        <v>11719</v>
      </c>
      <c r="F6" s="13">
        <f>RSCTabX[[#This Row],[Effectifs 2023]]/$E$9</f>
        <v>0.5490535982008995</v>
      </c>
      <c r="G6" s="101">
        <v>12074</v>
      </c>
      <c r="H6" s="13">
        <f>RSCTabX[[#This Row],[Effectifs 2024]]/$G$9</f>
        <v>0.5762420655753353</v>
      </c>
      <c r="I6" s="117">
        <v>12104</v>
      </c>
      <c r="J6" s="120">
        <f>+RSCTabX[[#This Row],[Effectifs 2025]]/$I$9</f>
        <v>0.57356773918400228</v>
      </c>
    </row>
    <row r="7" spans="1:10" ht="15" customHeight="1" x14ac:dyDescent="0.2">
      <c r="A7" s="11" t="s">
        <v>31</v>
      </c>
      <c r="B7" s="11" t="s">
        <v>27</v>
      </c>
      <c r="C7" s="9">
        <v>9296</v>
      </c>
      <c r="D7" s="13">
        <f>RSCTabX[[#This Row],[Effectifs 2022]]/$C$9</f>
        <v>0.43768539008427892</v>
      </c>
      <c r="E7" s="9">
        <v>8944</v>
      </c>
      <c r="F7" s="13">
        <f>RSCTabX[[#This Row],[Effectifs 2023]]/$E$9</f>
        <v>0.41904047976011993</v>
      </c>
      <c r="G7" s="101">
        <v>8224</v>
      </c>
      <c r="H7" s="13">
        <f>RSCTabX[[#This Row],[Effectifs 2024]]/$G$9</f>
        <v>0.39249749439221115</v>
      </c>
      <c r="I7" s="117">
        <v>8268</v>
      </c>
      <c r="J7" s="120">
        <f>+RSCTabX[[#This Row],[Effectifs 2025]]/$I$9</f>
        <v>0.39179263611808746</v>
      </c>
    </row>
    <row r="8" spans="1:10" ht="15" customHeight="1" x14ac:dyDescent="0.2">
      <c r="A8" s="11" t="s">
        <v>31</v>
      </c>
      <c r="B8" s="11" t="s">
        <v>28</v>
      </c>
      <c r="C8" s="9">
        <v>711</v>
      </c>
      <c r="D8" s="13">
        <f>RSCTabX[[#This Row],[Effectifs 2022]]/$C$9</f>
        <v>3.3476152361222276E-2</v>
      </c>
      <c r="E8" s="9">
        <v>681</v>
      </c>
      <c r="F8" s="13">
        <f>RSCTabX[[#This Row],[Effectifs 2023]]/$E$9</f>
        <v>3.190592203898051E-2</v>
      </c>
      <c r="G8" s="101">
        <v>655</v>
      </c>
      <c r="H8" s="13">
        <f>RSCTabX[[#This Row],[Effectifs 2024]]/$G$9</f>
        <v>3.1260440032453589E-2</v>
      </c>
      <c r="I8" s="117">
        <v>731</v>
      </c>
      <c r="J8" s="120">
        <f>+RSCTabX[[#This Row],[Effectifs 2025]]/$I$9</f>
        <v>3.4639624697910251E-2</v>
      </c>
    </row>
    <row r="9" spans="1:10" ht="15" customHeight="1" x14ac:dyDescent="0.2">
      <c r="A9" s="10" t="s">
        <v>12</v>
      </c>
      <c r="B9" s="10"/>
      <c r="C9" s="7">
        <f>SUBTOTAL(109,C6:C8)</f>
        <v>21239</v>
      </c>
      <c r="D9" s="14">
        <f t="shared" ref="D9:F9" si="0">SUBTOTAL(109,D6:D8)</f>
        <v>0.99999999999999989</v>
      </c>
      <c r="E9" s="7">
        <f>SUBTOTAL(109,E6:E8)</f>
        <v>21344</v>
      </c>
      <c r="F9" s="14">
        <f t="shared" si="0"/>
        <v>0.99999999999999989</v>
      </c>
      <c r="G9" s="108">
        <f>SUBTOTAL(109,G6:G8)</f>
        <v>20953</v>
      </c>
      <c r="H9" s="98">
        <f>SUBTOTAL(109,H6:H8)</f>
        <v>1</v>
      </c>
      <c r="I9" s="119">
        <f>SUBTOTAL(109,I6:I8)</f>
        <v>21103</v>
      </c>
      <c r="J9" s="98">
        <f>+RSCTabX[[#This Row],[Effectifs 2025]]/$I$9</f>
        <v>1</v>
      </c>
    </row>
    <row r="10" spans="1:10" ht="15" customHeight="1" x14ac:dyDescent="0.2">
      <c r="A10" s="8" t="s">
        <v>32</v>
      </c>
      <c r="B10" s="8" t="s">
        <v>26</v>
      </c>
      <c r="C10" s="9">
        <v>101</v>
      </c>
      <c r="D10" s="13">
        <f>RSCTabX[[#This Row],[Effectifs 2022]]/$C$13</f>
        <v>7.9153605015673978E-2</v>
      </c>
      <c r="E10" s="9">
        <v>496</v>
      </c>
      <c r="F10" s="13">
        <f>RSCTabX[[#This Row],[Effectifs 2023]]/$E$13</f>
        <v>0.39459029435163084</v>
      </c>
      <c r="G10" s="101">
        <f>+'2.04 Tableau 4'!E18+'2.04 Tableau 4'!E32+'2.04 Tableau 5'!F16+'2.04 Tableau 5'!F20</f>
        <v>421</v>
      </c>
      <c r="H10" s="13">
        <f>RSCTabX[[#This Row],[Effectifs 2024]]/$G$13</f>
        <v>0.24970344009489917</v>
      </c>
      <c r="I10" s="117">
        <v>421</v>
      </c>
      <c r="J10" s="120">
        <f>+RSCTabX[[#This Row],[Effectifs 2025]]/$I$13</f>
        <v>0.31559220389805098</v>
      </c>
    </row>
    <row r="11" spans="1:10" ht="15" customHeight="1" x14ac:dyDescent="0.2">
      <c r="A11" s="8" t="s">
        <v>32</v>
      </c>
      <c r="B11" s="8" t="s">
        <v>27</v>
      </c>
      <c r="C11" s="9">
        <v>1175</v>
      </c>
      <c r="D11" s="13">
        <f>RSCTabX[[#This Row],[Effectifs 2022]]/$C$13</f>
        <v>0.92084639498432597</v>
      </c>
      <c r="E11" s="9">
        <v>761</v>
      </c>
      <c r="F11" s="13">
        <f>RSCTabX[[#This Row],[Effectifs 2023]]/$E$13</f>
        <v>0.60540970564836916</v>
      </c>
      <c r="G11" s="101">
        <v>1265</v>
      </c>
      <c r="H11" s="13">
        <f>RSCTabX[[#This Row],[Effectifs 2024]]/$G$13</f>
        <v>0.7502965599051008</v>
      </c>
      <c r="I11" s="117">
        <v>913</v>
      </c>
      <c r="J11" s="120">
        <f>+RSCTabX[[#This Row],[Effectifs 2025]]/$I$13</f>
        <v>0.68440779610194902</v>
      </c>
    </row>
    <row r="12" spans="1:10" ht="15" customHeight="1" x14ac:dyDescent="0.2">
      <c r="A12" s="8" t="s">
        <v>32</v>
      </c>
      <c r="B12" s="8" t="s">
        <v>28</v>
      </c>
      <c r="C12" s="9">
        <v>0</v>
      </c>
      <c r="D12" s="13">
        <f>RSCTabX[[#This Row],[Effectifs 2022]]/$C$13</f>
        <v>0</v>
      </c>
      <c r="E12" s="9">
        <f>SUMIF(HebergementClg[Secteur],"Privé",HebergementClg[Effectifs Internes])+SUMIF(HébergementLycée[Secteur],"Privé",HébergementLycée[Effectifs Internes])</f>
        <v>0</v>
      </c>
      <c r="F12" s="13">
        <f>RSCTabX[[#This Row],[Effectifs 2023]]/$E$13</f>
        <v>0</v>
      </c>
      <c r="G12" s="39">
        <v>0</v>
      </c>
      <c r="H12" s="39"/>
      <c r="I12" s="117">
        <v>0</v>
      </c>
      <c r="J12" s="120">
        <f>+RSCTabX[[#This Row],[Effectifs 2025]]/$I$13</f>
        <v>0</v>
      </c>
    </row>
    <row r="13" spans="1:10" ht="15" customHeight="1" x14ac:dyDescent="0.2">
      <c r="A13" s="6" t="s">
        <v>13</v>
      </c>
      <c r="B13" s="6"/>
      <c r="C13" s="7">
        <f t="shared" ref="C13:F13" si="1">SUBTOTAL(109,C10:C12)</f>
        <v>1276</v>
      </c>
      <c r="D13" s="14">
        <f t="shared" si="1"/>
        <v>1</v>
      </c>
      <c r="E13" s="7">
        <f>+E10+E11+E12</f>
        <v>1257</v>
      </c>
      <c r="F13" s="14">
        <f t="shared" si="1"/>
        <v>1</v>
      </c>
      <c r="G13" s="108">
        <f>SUM(G10:G12)</f>
        <v>1686</v>
      </c>
      <c r="H13" s="98">
        <f>SUM(H10:H12)</f>
        <v>1</v>
      </c>
      <c r="I13" s="119">
        <f>SUBTOTAL(109,I10:I12)</f>
        <v>1334</v>
      </c>
      <c r="J13" s="98">
        <f>+RSCTabX[[#This Row],[Effectifs 2025]]/$I$13</f>
        <v>1</v>
      </c>
    </row>
    <row r="14" spans="1:10" ht="15" customHeight="1" x14ac:dyDescent="0.2">
      <c r="A14" s="39" t="s">
        <v>33</v>
      </c>
      <c r="B14" s="8" t="s">
        <v>26</v>
      </c>
      <c r="C14" s="9">
        <f>C6+C10</f>
        <v>11333</v>
      </c>
      <c r="D14" s="13">
        <f>RSCTabX[[#This Row],[Effectifs 2022]]/$C$17</f>
        <v>0.503353320008883</v>
      </c>
      <c r="E14" s="9">
        <f>E6+E10</f>
        <v>12215</v>
      </c>
      <c r="F14" s="13">
        <f>RSCTabX[[#This Row],[Effectifs 2023]]/$E$17</f>
        <v>0.54046281138002739</v>
      </c>
      <c r="G14" s="101">
        <f>+G6+G10</f>
        <v>12495</v>
      </c>
      <c r="H14" s="13">
        <f>RSCTabX[[#This Row],[Effectifs 2024]]/$G$17</f>
        <v>0.55192367154026234</v>
      </c>
      <c r="I14" s="119">
        <f>+I6+I10</f>
        <v>12525</v>
      </c>
      <c r="J14" s="120">
        <f>+RSCTabX[[#This Row],[Effectifs 2025]]/$I$17</f>
        <v>0.55822970985425857</v>
      </c>
    </row>
    <row r="15" spans="1:10" ht="15" customHeight="1" x14ac:dyDescent="0.2">
      <c r="A15" s="39" t="s">
        <v>33</v>
      </c>
      <c r="B15" s="8" t="s">
        <v>27</v>
      </c>
      <c r="C15" s="9">
        <f>C7+C11</f>
        <v>10471</v>
      </c>
      <c r="D15" s="13">
        <f>RSCTabX[[#This Row],[Effectifs 2022]]/$C$17</f>
        <v>0.46506773262269596</v>
      </c>
      <c r="E15" s="9">
        <f>E7+E11</f>
        <v>9705</v>
      </c>
      <c r="F15" s="13">
        <f>RSCTabX[[#This Row],[Effectifs 2023]]/$E$17</f>
        <v>0.42940577850537587</v>
      </c>
      <c r="G15" s="101">
        <f>+G7+G11</f>
        <v>9489</v>
      </c>
      <c r="H15" s="13">
        <f>RSCTabX[[#This Row],[Effectifs 2024]]/$G$17</f>
        <v>0.41914395512169267</v>
      </c>
      <c r="I15" s="117">
        <f t="shared" ref="I15:I16" si="2">+I7+I11</f>
        <v>9181</v>
      </c>
      <c r="J15" s="120">
        <f>+RSCTabX[[#This Row],[Effectifs 2025]]/$I$17</f>
        <v>0.40919017693987608</v>
      </c>
    </row>
    <row r="16" spans="1:10" ht="15" customHeight="1" x14ac:dyDescent="0.2">
      <c r="A16" s="39" t="s">
        <v>33</v>
      </c>
      <c r="B16" s="8" t="s">
        <v>28</v>
      </c>
      <c r="C16" s="9">
        <f>C8+C12</f>
        <v>711</v>
      </c>
      <c r="D16" s="13">
        <f>RSCTabX[[#This Row],[Effectifs 2022]]/$C$17</f>
        <v>3.1578947368421054E-2</v>
      </c>
      <c r="E16" s="9">
        <f>E8+E12</f>
        <v>681</v>
      </c>
      <c r="F16" s="13">
        <f>RSCTabX[[#This Row],[Effectifs 2023]]/$E$17</f>
        <v>3.0131410114596698E-2</v>
      </c>
      <c r="G16" s="101">
        <f>+G8+G12</f>
        <v>655</v>
      </c>
      <c r="H16" s="13">
        <f>RSCTabX[[#This Row],[Effectifs 2024]]/$G$17</f>
        <v>2.8932373338044968E-2</v>
      </c>
      <c r="I16" s="117">
        <f t="shared" si="2"/>
        <v>731</v>
      </c>
      <c r="J16" s="120">
        <f>+RSCTabX[[#This Row],[Effectifs 2025]]/$I$17</f>
        <v>3.2580113205865312E-2</v>
      </c>
    </row>
    <row r="17" spans="1:10" s="5" customFormat="1" ht="15" customHeight="1" x14ac:dyDescent="0.2">
      <c r="A17" s="6" t="s">
        <v>34</v>
      </c>
      <c r="B17" s="6"/>
      <c r="C17" s="7">
        <f>SUBTOTAL(109,C14:C16)</f>
        <v>22515</v>
      </c>
      <c r="D17" s="14">
        <f>+RSCTabX[[#This Row],[Effectifs 2022]]/C17</f>
        <v>1</v>
      </c>
      <c r="E17" s="7">
        <f>SUBTOTAL(109,E14:E16)</f>
        <v>22601</v>
      </c>
      <c r="F17" s="14">
        <f>+RSCTabX[[#This Row],[Effectifs 2023]]/E17</f>
        <v>1</v>
      </c>
      <c r="G17" s="108">
        <f>+G14+G15+G16</f>
        <v>22639</v>
      </c>
      <c r="H17" s="98">
        <f>+H14+H15+H16</f>
        <v>1</v>
      </c>
      <c r="I17" s="119">
        <f>+I9+I13</f>
        <v>22437</v>
      </c>
      <c r="J17" s="98">
        <f>+RSCTabX[[#This Row],[Effectifs 2025]]/$I$17</f>
        <v>1</v>
      </c>
    </row>
    <row r="18" spans="1:10" ht="15" customHeight="1" x14ac:dyDescent="0.2"/>
    <row r="19" spans="1:10" ht="15" customHeight="1" x14ac:dyDescent="0.2">
      <c r="A19" s="37" t="s">
        <v>24</v>
      </c>
      <c r="B19" s="37"/>
    </row>
    <row r="20" spans="1:10" ht="15" customHeight="1" x14ac:dyDescent="0.2">
      <c r="A20" s="24"/>
      <c r="B20" s="32"/>
    </row>
    <row r="21" spans="1:10" ht="15" customHeight="1" x14ac:dyDescent="0.2">
      <c r="A21" s="36" t="s">
        <v>25</v>
      </c>
    </row>
    <row r="22" spans="1:10" ht="15" customHeight="1" x14ac:dyDescent="0.2">
      <c r="A22" s="35"/>
    </row>
    <row r="23" spans="1:10" ht="15" customHeight="1" x14ac:dyDescent="0.2"/>
    <row r="24" spans="1:10" ht="15" customHeight="1" x14ac:dyDescent="0.2"/>
    <row r="25" spans="1:10" ht="15" customHeight="1" x14ac:dyDescent="0.2"/>
    <row r="26" spans="1:10" ht="15" customHeight="1" x14ac:dyDescent="0.2"/>
    <row r="27" spans="1:10" ht="15" customHeight="1" x14ac:dyDescent="0.2"/>
    <row r="28" spans="1:10" ht="15" customHeight="1" x14ac:dyDescent="0.2"/>
    <row r="29" spans="1:10" ht="15" customHeight="1" x14ac:dyDescent="0.2"/>
    <row r="30" spans="1:10" ht="15" customHeight="1" x14ac:dyDescent="0.2"/>
    <row r="31" spans="1:10" s="5" customFormat="1" ht="15" customHeight="1" x14ac:dyDescent="0.2">
      <c r="A31" s="41"/>
      <c r="B31" s="42"/>
      <c r="C31" s="4"/>
    </row>
    <row r="32" spans="1:10" ht="15" customHeight="1" x14ac:dyDescent="0.2"/>
    <row r="33" spans="1:3" ht="15" customHeight="1" x14ac:dyDescent="0.2"/>
    <row r="34" spans="1:3" ht="15" customHeight="1" x14ac:dyDescent="0.2"/>
    <row r="35" spans="1:3" ht="15" customHeight="1" x14ac:dyDescent="0.2"/>
    <row r="36" spans="1:3" ht="15" customHeight="1" x14ac:dyDescent="0.2"/>
    <row r="37" spans="1:3" ht="15" customHeight="1" x14ac:dyDescent="0.2"/>
    <row r="38" spans="1:3" ht="15" customHeight="1" x14ac:dyDescent="0.2"/>
    <row r="39" spans="1:3" s="5" customFormat="1" ht="15" customHeight="1" x14ac:dyDescent="0.2">
      <c r="A39" s="41"/>
      <c r="B39" s="42"/>
      <c r="C39" s="4"/>
    </row>
    <row r="40" spans="1:3" ht="15" customHeight="1" x14ac:dyDescent="0.2"/>
    <row r="41" spans="1:3" ht="15" customHeight="1" x14ac:dyDescent="0.2"/>
    <row r="42" spans="1:3" ht="15" customHeight="1" x14ac:dyDescent="0.2"/>
    <row r="43" spans="1:3" ht="15" customHeight="1" x14ac:dyDescent="0.2"/>
    <row r="44" spans="1:3" ht="15" customHeight="1" x14ac:dyDescent="0.2"/>
    <row r="45" spans="1:3" ht="15" customHeight="1" x14ac:dyDescent="0.2"/>
    <row r="46" spans="1:3" ht="15" customHeight="1" x14ac:dyDescent="0.2"/>
    <row r="47" spans="1:3" s="5" customFormat="1" ht="15" customHeight="1" x14ac:dyDescent="0.2">
      <c r="A47" s="41"/>
      <c r="B47" s="42"/>
      <c r="C47" s="4"/>
    </row>
    <row r="48" spans="1:3" ht="15" customHeight="1" x14ac:dyDescent="0.2"/>
    <row r="49" spans="1:3" ht="15" customHeight="1" x14ac:dyDescent="0.2"/>
    <row r="50" spans="1:3" ht="15" customHeight="1" x14ac:dyDescent="0.2"/>
    <row r="51" spans="1:3" ht="15" customHeight="1" x14ac:dyDescent="0.2"/>
    <row r="52" spans="1:3" ht="15" customHeight="1" x14ac:dyDescent="0.2"/>
    <row r="53" spans="1:3" ht="15" customHeight="1" x14ac:dyDescent="0.2"/>
    <row r="54" spans="1:3" ht="15" customHeight="1" x14ac:dyDescent="0.2"/>
    <row r="55" spans="1:3" ht="15" customHeight="1" x14ac:dyDescent="0.2"/>
    <row r="56" spans="1:3" ht="15" customHeight="1" x14ac:dyDescent="0.2"/>
    <row r="57" spans="1:3" ht="15" customHeight="1" x14ac:dyDescent="0.2"/>
    <row r="58" spans="1:3" ht="15" customHeight="1" x14ac:dyDescent="0.2"/>
    <row r="59" spans="1:3" ht="15" customHeight="1" x14ac:dyDescent="0.2"/>
    <row r="60" spans="1:3" ht="15" customHeight="1" x14ac:dyDescent="0.2"/>
    <row r="61" spans="1:3" ht="15" customHeight="1" x14ac:dyDescent="0.2"/>
    <row r="62" spans="1:3" ht="15" customHeight="1" x14ac:dyDescent="0.2"/>
    <row r="63" spans="1:3" s="5" customFormat="1" ht="15" customHeight="1" x14ac:dyDescent="0.2">
      <c r="A63" s="41"/>
      <c r="B63" s="42"/>
      <c r="C63" s="4"/>
    </row>
    <row r="64" spans="1:3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x14ac:dyDescent="0.2"/>
    <row r="313" x14ac:dyDescent="0.2"/>
  </sheetData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ignoredErrors>
    <ignoredError sqref="G9 G13" formula="1"/>
    <ignoredError sqref="D6:D16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5"/>
  <sheetViews>
    <sheetView showGridLines="0" zoomScaleNormal="100" zoomScaleSheetLayoutView="100" workbookViewId="0">
      <selection activeCell="I16" sqref="I16"/>
    </sheetView>
  </sheetViews>
  <sheetFormatPr baseColWidth="10" defaultRowHeight="12.75" zeroHeight="1" x14ac:dyDescent="0.2"/>
  <cols>
    <col min="1" max="1" width="21.28515625" style="41" customWidth="1"/>
    <col min="2" max="2" width="14.5703125" style="42" bestFit="1" customWidth="1"/>
    <col min="3" max="5" width="10.7109375" style="42" customWidth="1"/>
    <col min="6" max="9" width="10.7109375" style="4" customWidth="1"/>
    <col min="10" max="16384" width="11.42578125" style="4"/>
  </cols>
  <sheetData>
    <row r="1" spans="1:8" ht="17.25" thickBot="1" x14ac:dyDescent="0.25">
      <c r="A1" s="20" t="str">
        <f>'2.04 Notice'!A9</f>
        <v>2.04 L’hébergement des élèves dans les établissements du second degré</v>
      </c>
      <c r="B1" s="40"/>
      <c r="C1" s="40"/>
      <c r="D1" s="40"/>
      <c r="E1" s="40"/>
    </row>
    <row r="2" spans="1:8" ht="13.5" thickTop="1" x14ac:dyDescent="0.2"/>
    <row r="3" spans="1:8" s="5" customFormat="1" ht="15.75" customHeight="1" x14ac:dyDescent="0.2">
      <c r="A3" s="97" t="str">
        <f>'2.04 Notice'!A17</f>
        <v>[3] Répartition des élèves du second degré et du post-bac selon le mode d'hébergement et le type d'établissement à la rentrée 2025</v>
      </c>
      <c r="H3" s="4"/>
    </row>
    <row r="4" spans="1:8" x14ac:dyDescent="0.2"/>
    <row r="5" spans="1:8" ht="22.5" x14ac:dyDescent="0.2">
      <c r="A5" s="3" t="s">
        <v>29</v>
      </c>
      <c r="B5" s="3" t="s">
        <v>30</v>
      </c>
      <c r="C5" s="99" t="s">
        <v>39</v>
      </c>
      <c r="D5" s="100" t="s">
        <v>40</v>
      </c>
      <c r="E5" s="100" t="s">
        <v>41</v>
      </c>
      <c r="F5" s="100" t="s">
        <v>42</v>
      </c>
      <c r="G5" s="100" t="s">
        <v>43</v>
      </c>
    </row>
    <row r="6" spans="1:8" ht="15" customHeight="1" x14ac:dyDescent="0.2">
      <c r="A6" s="11" t="s">
        <v>33</v>
      </c>
      <c r="B6" s="11" t="s">
        <v>26</v>
      </c>
      <c r="C6" s="110">
        <f>SUM([1]!HebergementClg[Effectifs Demi-pensionnaires])/C10</f>
        <v>0.68533373694566369</v>
      </c>
      <c r="D6" s="110">
        <f>SUMIF([1]!HébergementLycée[Type],"EREA",[1]!HébergementLycée[Effectifs Demi-pensionnaires])/D10</f>
        <v>0.51260504201680668</v>
      </c>
      <c r="E6" s="110">
        <f>1173/E10</f>
        <v>0.53758020164986253</v>
      </c>
      <c r="F6" s="110">
        <f>(2603+95)/F10</f>
        <v>0.40077243018419489</v>
      </c>
      <c r="G6" s="110">
        <f>([1]!HébergementLycée[[#Totals],[Effectifs Demi-pensionnaires]]+[1]!HebergementClg[[#Totals],[Effectifs Demi-pensionnaires]])/G10</f>
        <v>0.5616487616307817</v>
      </c>
    </row>
    <row r="7" spans="1:8" ht="15" customHeight="1" x14ac:dyDescent="0.2">
      <c r="A7" s="11"/>
      <c r="B7" s="11" t="s">
        <v>27</v>
      </c>
      <c r="C7" s="110">
        <f>SUM([1]!HebergementClg[Effectifs Externes])/C10</f>
        <v>0.31307703950355681</v>
      </c>
      <c r="D7" s="110">
        <f>SUMIF([1]!HébergementLycée[Type],"EREA",[1]!HébergementLycée[Effectifs Externes])/D10</f>
        <v>1.680672268907563E-2</v>
      </c>
      <c r="E7" s="110">
        <f>650/E10</f>
        <v>0.29789184234647115</v>
      </c>
      <c r="F7" s="110">
        <f>(489+3335)/F10</f>
        <v>0.56803327391562686</v>
      </c>
      <c r="G7" s="110">
        <f>([1]!HébergementLycée[[#Totals],[Effectifs Externes]]+[1]!HebergementClg[[#Totals],[Effectifs Externes]])/G10</f>
        <v>0.41070706162628667</v>
      </c>
    </row>
    <row r="8" spans="1:8" ht="15" customHeight="1" x14ac:dyDescent="0.2">
      <c r="A8" s="11"/>
      <c r="B8" s="11" t="s">
        <v>28</v>
      </c>
      <c r="C8" s="110">
        <f>SUM([1]!HebergementClg[Effectifs Internes])/C10</f>
        <v>2.2703193582563948E-3</v>
      </c>
      <c r="D8" s="110">
        <f>SUMIF([1]!HébergementLycée[Type],"EREA",[1]!HébergementLycée[Effectifs Internes])/D10</f>
        <v>0.47058823529411764</v>
      </c>
      <c r="E8" s="110">
        <f>359/E10</f>
        <v>0.16452795600366635</v>
      </c>
      <c r="F8" s="110">
        <f>210/F10</f>
        <v>3.1194295900178252E-2</v>
      </c>
      <c r="G8" s="110">
        <f>([1]!HébergementLycée[[#Totals],[Effectifs Internes]]+[1]!HebergementClg[[#Totals],[Effectifs Internes]])/G10</f>
        <v>2.9442171978244256E-2</v>
      </c>
    </row>
    <row r="9" spans="1:8" ht="15" customHeight="1" x14ac:dyDescent="0.2">
      <c r="A9" s="39"/>
      <c r="B9" s="10" t="s">
        <v>43</v>
      </c>
      <c r="C9" s="14">
        <f>SUBTOTAL(109,C6:C8)</f>
        <v>1.000681095807477</v>
      </c>
      <c r="D9" s="14">
        <f t="shared" ref="D9" si="0">SUBTOTAL(109,D6:D8)</f>
        <v>1</v>
      </c>
      <c r="E9" s="14">
        <f t="shared" ref="E9" si="1">SUBTOTAL(109,E6:E8)</f>
        <v>1</v>
      </c>
      <c r="F9" s="14">
        <f>SUBTOTAL(109,F6:F8)</f>
        <v>1</v>
      </c>
      <c r="G9" s="14">
        <f t="shared" ref="G9" si="2">SUBTOTAL(109,G6:G8)</f>
        <v>1.0017979952353127</v>
      </c>
    </row>
    <row r="10" spans="1:8" ht="15" customHeight="1" x14ac:dyDescent="0.2">
      <c r="A10" s="39"/>
      <c r="B10" s="43" t="s">
        <v>18</v>
      </c>
      <c r="C10" s="44">
        <v>13214</v>
      </c>
      <c r="D10" s="44">
        <v>119</v>
      </c>
      <c r="E10" s="44">
        <v>2182</v>
      </c>
      <c r="F10" s="44">
        <v>6732</v>
      </c>
      <c r="G10" s="44">
        <f>SUM(RSCTabX2[[#This Row],[Collège]:[LEGT]])</f>
        <v>22247</v>
      </c>
    </row>
    <row r="11" spans="1:8" ht="15" customHeight="1" x14ac:dyDescent="0.2">
      <c r="A11" s="93" t="s">
        <v>44</v>
      </c>
      <c r="B11" s="45" t="s">
        <v>26</v>
      </c>
      <c r="C11" s="121">
        <f>+'[1]2.04 Tableau 4'!E40</f>
        <v>0.68486727671481507</v>
      </c>
      <c r="D11" s="121">
        <f>SUMIFS([1]!HébergementLycée[Effectifs Demi-pensionnaires],[1]!HébergementLycée[Type],"EREA",[1]!HébergementLycée[Secteur],"Public")/D15</f>
        <v>0.51260504201680668</v>
      </c>
      <c r="E11" s="121">
        <v>0.53758020164986253</v>
      </c>
      <c r="F11" s="121">
        <f>+'[1]2.04 Tableau 5'!F28</f>
        <v>0.37941306266548985</v>
      </c>
      <c r="G11" s="121">
        <v>0.51900000000000002</v>
      </c>
    </row>
    <row r="12" spans="1:8" ht="15" customHeight="1" x14ac:dyDescent="0.2">
      <c r="A12" s="8"/>
      <c r="B12" s="8" t="s">
        <v>27</v>
      </c>
      <c r="C12" s="110">
        <f>+'[1]2.04 Tableau 4'!F40</f>
        <v>0.31286394917946003</v>
      </c>
      <c r="D12" s="110">
        <f>SUMIFS([1]!HébergementLycée[Effectifs Externes],[1]!HébergementLycée[Type],"EREA",[1]!HébergementLycée[Secteur],"Public")/D15</f>
        <v>1.680672268907563E-2</v>
      </c>
      <c r="E12" s="110">
        <v>0.29789184234647115</v>
      </c>
      <c r="F12" s="110">
        <f>+'[1]2.04 Tableau 5'!G28</f>
        <v>0.55163283318623124</v>
      </c>
      <c r="G12" s="110">
        <v>0.44900000000000001</v>
      </c>
    </row>
    <row r="13" spans="1:8" ht="15" customHeight="1" x14ac:dyDescent="0.2">
      <c r="A13" s="8"/>
      <c r="B13" s="8" t="s">
        <v>28</v>
      </c>
      <c r="C13" s="110">
        <f>+'[1]2.04 Tableau 4'!G40</f>
        <v>2.2687741057248732E-3</v>
      </c>
      <c r="D13" s="110">
        <f>SUMIFS([1]!HébergementLycée[Effectifs Internes],[1]!HébergementLycée[Type],"EREA",[1]!HébergementLycée[Secteur],"Public")/D15</f>
        <v>0.47058823529411764</v>
      </c>
      <c r="E13" s="110">
        <v>0.16452795600366635</v>
      </c>
      <c r="F13" s="110">
        <f>+'[1]2.04 Tableau 5'!H28</f>
        <v>6.8954104148278905E-2</v>
      </c>
      <c r="G13" s="110">
        <v>3.2000000000000001E-2</v>
      </c>
    </row>
    <row r="14" spans="1:8" ht="15" customHeight="1" x14ac:dyDescent="0.2">
      <c r="A14" s="39"/>
      <c r="B14" s="6" t="s">
        <v>43</v>
      </c>
      <c r="C14" s="14">
        <f t="shared" ref="C14:G14" si="3">SUBTOTAL(109,C11:C13)</f>
        <v>1</v>
      </c>
      <c r="D14" s="14">
        <f t="shared" si="3"/>
        <v>1</v>
      </c>
      <c r="E14" s="14">
        <f t="shared" si="3"/>
        <v>1</v>
      </c>
      <c r="F14" s="107">
        <f t="shared" si="3"/>
        <v>1</v>
      </c>
      <c r="G14" s="14">
        <f t="shared" si="3"/>
        <v>1</v>
      </c>
    </row>
    <row r="15" spans="1:8" ht="15" customHeight="1" x14ac:dyDescent="0.2">
      <c r="A15" s="39"/>
      <c r="B15" s="80" t="s">
        <v>18</v>
      </c>
      <c r="C15" s="44">
        <v>12464</v>
      </c>
      <c r="D15" s="44">
        <v>119</v>
      </c>
      <c r="E15" s="44">
        <v>2182</v>
      </c>
      <c r="F15" s="44">
        <v>6148</v>
      </c>
      <c r="G15" s="44">
        <f>SUM(RSCTabX2[[#This Row],[Collège]:[LEGT]])</f>
        <v>20913</v>
      </c>
    </row>
    <row r="16" spans="1:8" s="21" customFormat="1" ht="15" customHeight="1" x14ac:dyDescent="0.2">
      <c r="A16" s="81"/>
      <c r="B16" s="25"/>
      <c r="C16" s="25"/>
      <c r="D16" s="25"/>
      <c r="E16" s="25"/>
    </row>
    <row r="17" spans="1:7" s="5" customFormat="1" ht="15" customHeight="1" x14ac:dyDescent="0.2">
      <c r="A17" s="37" t="s">
        <v>149</v>
      </c>
      <c r="B17" s="37"/>
      <c r="C17" s="37"/>
      <c r="D17" s="37"/>
      <c r="E17" s="25"/>
      <c r="F17" s="21"/>
      <c r="G17" s="21"/>
    </row>
    <row r="18" spans="1:7" s="21" customFormat="1" ht="15" customHeight="1" x14ac:dyDescent="0.2">
      <c r="A18" s="24"/>
      <c r="B18" s="30"/>
      <c r="C18" s="82"/>
      <c r="D18" s="30"/>
      <c r="E18" s="25"/>
    </row>
    <row r="19" spans="1:7" s="21" customFormat="1" ht="15" customHeight="1" x14ac:dyDescent="0.2">
      <c r="A19" s="36" t="s">
        <v>25</v>
      </c>
      <c r="B19" s="25"/>
      <c r="C19" s="25"/>
      <c r="D19" s="25"/>
      <c r="E19" s="25"/>
    </row>
    <row r="20" spans="1:7" s="21" customFormat="1" ht="15" customHeight="1" x14ac:dyDescent="0.2">
      <c r="A20" s="35"/>
      <c r="B20" s="25"/>
      <c r="C20" s="25"/>
      <c r="D20" s="25"/>
      <c r="E20" s="25"/>
    </row>
    <row r="21" spans="1:7" s="21" customFormat="1" ht="15" customHeight="1" x14ac:dyDescent="0.2">
      <c r="A21" s="81"/>
      <c r="B21" s="25"/>
      <c r="C21" s="25"/>
      <c r="D21" s="25"/>
      <c r="E21" s="25"/>
    </row>
    <row r="22" spans="1:7" s="21" customFormat="1" ht="15" customHeight="1" x14ac:dyDescent="0.2">
      <c r="A22" s="81"/>
      <c r="B22" s="25"/>
      <c r="C22" s="25"/>
      <c r="D22" s="25"/>
      <c r="E22" s="25"/>
    </row>
    <row r="23" spans="1:7" s="21" customFormat="1" ht="15" customHeight="1" x14ac:dyDescent="0.2">
      <c r="A23" s="81"/>
      <c r="B23" s="25"/>
      <c r="C23" s="25"/>
      <c r="D23" s="25"/>
      <c r="E23" s="25"/>
    </row>
    <row r="24" spans="1:7" s="21" customFormat="1" ht="15" customHeight="1" x14ac:dyDescent="0.2">
      <c r="A24" s="81"/>
      <c r="B24" s="25"/>
      <c r="C24" s="25"/>
      <c r="D24" s="25"/>
      <c r="E24" s="25"/>
    </row>
    <row r="25" spans="1:7" s="21" customFormat="1" ht="15" customHeight="1" x14ac:dyDescent="0.2">
      <c r="A25" s="81"/>
      <c r="B25" s="25"/>
      <c r="C25" s="25"/>
      <c r="D25" s="25"/>
      <c r="E25" s="25"/>
    </row>
    <row r="26" spans="1:7" s="21" customFormat="1" ht="15" customHeight="1" x14ac:dyDescent="0.2">
      <c r="A26" s="81"/>
      <c r="B26" s="25"/>
      <c r="C26" s="25"/>
      <c r="D26" s="25"/>
      <c r="E26" s="25"/>
    </row>
    <row r="27" spans="1:7" s="21" customFormat="1" ht="15" customHeight="1" x14ac:dyDescent="0.2">
      <c r="A27" s="81"/>
      <c r="B27" s="25"/>
      <c r="C27" s="25"/>
      <c r="D27" s="25"/>
      <c r="E27" s="25"/>
    </row>
    <row r="28" spans="1:7" s="21" customFormat="1" ht="15" customHeight="1" x14ac:dyDescent="0.2">
      <c r="A28" s="81"/>
      <c r="B28" s="25"/>
      <c r="C28" s="25"/>
      <c r="D28" s="25"/>
      <c r="E28" s="25"/>
    </row>
    <row r="29" spans="1:7" s="21" customFormat="1" ht="15" customHeight="1" x14ac:dyDescent="0.2">
      <c r="A29" s="81"/>
      <c r="B29" s="25"/>
      <c r="C29" s="25"/>
      <c r="D29" s="25"/>
      <c r="E29" s="25"/>
    </row>
    <row r="30" spans="1:7" s="21" customFormat="1" ht="15" customHeight="1" x14ac:dyDescent="0.2">
      <c r="A30" s="81"/>
      <c r="B30" s="25"/>
      <c r="C30" s="25"/>
      <c r="D30" s="25"/>
      <c r="E30" s="25"/>
    </row>
    <row r="31" spans="1:7" s="5" customFormat="1" ht="15" customHeight="1" x14ac:dyDescent="0.2">
      <c r="A31" s="81"/>
      <c r="B31" s="25"/>
      <c r="C31" s="25"/>
      <c r="D31" s="25"/>
      <c r="E31" s="25"/>
      <c r="F31" s="21"/>
      <c r="G31" s="21"/>
    </row>
    <row r="32" spans="1:7" ht="15" customHeight="1" x14ac:dyDescent="0.2"/>
    <row r="33" spans="1:7" ht="15" customHeight="1" x14ac:dyDescent="0.2"/>
    <row r="34" spans="1:7" ht="15" customHeight="1" x14ac:dyDescent="0.2"/>
    <row r="35" spans="1:7" ht="15" customHeight="1" x14ac:dyDescent="0.2"/>
    <row r="36" spans="1:7" ht="15" customHeight="1" x14ac:dyDescent="0.2"/>
    <row r="37" spans="1:7" ht="15" customHeight="1" x14ac:dyDescent="0.2"/>
    <row r="38" spans="1:7" ht="15" customHeight="1" x14ac:dyDescent="0.2"/>
    <row r="39" spans="1:7" s="5" customFormat="1" ht="15" customHeight="1" x14ac:dyDescent="0.2">
      <c r="A39" s="41"/>
      <c r="B39" s="42"/>
      <c r="C39" s="42"/>
      <c r="D39" s="42"/>
      <c r="E39" s="42"/>
      <c r="F39" s="4"/>
      <c r="G39" s="4"/>
    </row>
    <row r="40" spans="1:7" ht="15" customHeight="1" x14ac:dyDescent="0.2"/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s="5" customFormat="1" ht="15" customHeight="1" x14ac:dyDescent="0.2">
      <c r="A47" s="41"/>
      <c r="B47" s="42"/>
      <c r="C47" s="42"/>
      <c r="D47" s="42"/>
      <c r="E47" s="42"/>
      <c r="F47" s="4"/>
      <c r="G47" s="4"/>
    </row>
    <row r="48" spans="1:7" ht="15" customHeight="1" x14ac:dyDescent="0.2"/>
    <row r="49" spans="1:7" ht="15" customHeight="1" x14ac:dyDescent="0.2"/>
    <row r="50" spans="1:7" ht="15" customHeight="1" x14ac:dyDescent="0.2"/>
    <row r="51" spans="1:7" ht="15" customHeight="1" x14ac:dyDescent="0.2"/>
    <row r="52" spans="1:7" ht="15" customHeight="1" x14ac:dyDescent="0.2"/>
    <row r="53" spans="1:7" ht="15" customHeight="1" x14ac:dyDescent="0.2"/>
    <row r="54" spans="1:7" ht="15" customHeight="1" x14ac:dyDescent="0.2"/>
    <row r="55" spans="1:7" ht="15" customHeight="1" x14ac:dyDescent="0.2"/>
    <row r="56" spans="1:7" ht="15" customHeight="1" x14ac:dyDescent="0.2"/>
    <row r="57" spans="1:7" ht="15" customHeight="1" x14ac:dyDescent="0.2"/>
    <row r="58" spans="1:7" ht="15" customHeight="1" x14ac:dyDescent="0.2"/>
    <row r="59" spans="1:7" ht="15" customHeight="1" x14ac:dyDescent="0.2"/>
    <row r="60" spans="1:7" ht="15" customHeight="1" x14ac:dyDescent="0.2"/>
    <row r="61" spans="1:7" ht="15" customHeight="1" x14ac:dyDescent="0.2"/>
    <row r="62" spans="1:7" ht="15" customHeight="1" x14ac:dyDescent="0.2"/>
    <row r="63" spans="1:7" s="5" customFormat="1" ht="15" customHeight="1" x14ac:dyDescent="0.2">
      <c r="A63" s="41"/>
      <c r="B63" s="42"/>
      <c r="C63" s="42"/>
      <c r="D63" s="42"/>
      <c r="E63" s="42"/>
      <c r="F63" s="4"/>
      <c r="G63" s="4"/>
    </row>
    <row r="64" spans="1:7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x14ac:dyDescent="0.2"/>
    <row r="313" x14ac:dyDescent="0.2"/>
    <row r="314" hidden="1" x14ac:dyDescent="0.2"/>
    <row r="315" hidden="1" x14ac:dyDescent="0.2"/>
  </sheetData>
  <printOptions horizontalCentered="1" verticalCentered="1"/>
  <pageMargins left="0.15748031496062992" right="0.19685039370078741" top="0" bottom="0" header="0.31496062992125984" footer="0.31496062992125984"/>
  <pageSetup paperSize="9" scale="69" orientation="portrait" r:id="rId1"/>
  <headerFooter alignWithMargins="0"/>
  <ignoredErrors>
    <ignoredError sqref="F6:F15" calculatedColumn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topLeftCell="A19" workbookViewId="0">
      <selection activeCell="H44" sqref="H44"/>
    </sheetView>
  </sheetViews>
  <sheetFormatPr baseColWidth="10" defaultRowHeight="12.75" x14ac:dyDescent="0.2"/>
  <cols>
    <col min="1" max="1" width="11.42578125" style="65"/>
    <col min="2" max="2" width="8.140625" style="65" bestFit="1" customWidth="1"/>
    <col min="3" max="3" width="9.7109375" style="65" bestFit="1" customWidth="1"/>
    <col min="4" max="4" width="18.28515625" style="65" bestFit="1" customWidth="1"/>
    <col min="5" max="9" width="12.7109375" style="65" customWidth="1"/>
    <col min="10" max="10" width="24.42578125" style="65" bestFit="1" customWidth="1"/>
    <col min="11" max="11" width="22.42578125" style="65" bestFit="1" customWidth="1"/>
    <col min="12" max="16384" width="11.42578125" style="65"/>
  </cols>
  <sheetData>
    <row r="1" spans="1:14" ht="21" thickBot="1" x14ac:dyDescent="0.25">
      <c r="A1" s="20" t="s">
        <v>147</v>
      </c>
      <c r="B1" s="46"/>
      <c r="D1" s="46"/>
      <c r="E1" s="46"/>
      <c r="F1" s="46"/>
      <c r="G1" s="46"/>
      <c r="H1" s="46"/>
      <c r="I1" s="46"/>
      <c r="J1" s="66"/>
    </row>
    <row r="2" spans="1:14" ht="15" customHeight="1" thickTop="1" x14ac:dyDescent="0.2">
      <c r="B2" s="46"/>
      <c r="C2" s="46"/>
      <c r="D2" s="46"/>
      <c r="E2" s="46"/>
      <c r="F2" s="46"/>
      <c r="G2" s="46"/>
      <c r="H2" s="46"/>
      <c r="I2" s="46"/>
      <c r="J2" s="66"/>
    </row>
    <row r="3" spans="1:14" ht="20.25" x14ac:dyDescent="0.2">
      <c r="A3" s="97" t="str">
        <f>'2.04 Notice'!A18</f>
        <v>[4] Répartition des collégiens par établissement selon le mode d'hébergement à la rentrée 2025</v>
      </c>
      <c r="B3" s="46"/>
      <c r="C3" s="46"/>
      <c r="D3" s="46"/>
      <c r="E3" s="46"/>
      <c r="F3" s="46"/>
      <c r="G3" s="46"/>
      <c r="H3" s="46"/>
      <c r="I3" s="46"/>
      <c r="J3" s="66"/>
    </row>
    <row r="4" spans="1:14" ht="15" customHeight="1" x14ac:dyDescent="0.2">
      <c r="A4" s="67"/>
      <c r="B4" s="46"/>
      <c r="C4" s="46"/>
      <c r="D4" s="46"/>
      <c r="E4" s="46"/>
      <c r="F4" s="46"/>
      <c r="G4" s="46"/>
      <c r="H4" s="46"/>
      <c r="I4" s="46"/>
      <c r="J4" s="66"/>
    </row>
    <row r="5" spans="1:14" s="67" customFormat="1" ht="22.5" x14ac:dyDescent="0.2">
      <c r="A5" s="51" t="s">
        <v>45</v>
      </c>
      <c r="B5" s="51" t="s">
        <v>46</v>
      </c>
      <c r="C5" s="51" t="s">
        <v>29</v>
      </c>
      <c r="D5" s="51" t="s">
        <v>47</v>
      </c>
      <c r="E5" s="55" t="s">
        <v>139</v>
      </c>
      <c r="F5" s="55" t="s">
        <v>140</v>
      </c>
      <c r="G5" s="55" t="s">
        <v>141</v>
      </c>
      <c r="H5" s="55" t="s">
        <v>43</v>
      </c>
      <c r="I5" s="61" t="s">
        <v>143</v>
      </c>
      <c r="L5" s="67" t="s">
        <v>139</v>
      </c>
      <c r="M5" s="67" t="s">
        <v>140</v>
      </c>
      <c r="N5" s="67" t="s">
        <v>141</v>
      </c>
    </row>
    <row r="6" spans="1:14" s="67" customFormat="1" ht="15" customHeight="1" x14ac:dyDescent="0.2">
      <c r="A6" s="68" t="s">
        <v>48</v>
      </c>
      <c r="B6" s="68" t="s">
        <v>49</v>
      </c>
      <c r="C6" s="69" t="s">
        <v>31</v>
      </c>
      <c r="D6" s="70" t="s">
        <v>50</v>
      </c>
      <c r="E6" s="71">
        <v>285</v>
      </c>
      <c r="F6" s="71">
        <v>498</v>
      </c>
      <c r="G6" s="71">
        <v>6</v>
      </c>
      <c r="H6" s="71">
        <f>SUM(HebergementClg[[#This Row],[Effectifs Demi-pensionnaires]:[Effectifs Internes]])</f>
        <v>789</v>
      </c>
      <c r="I6" s="72">
        <f>HebergementClg[[#This Row],[Effectifs Demi-pensionnaires]]/HebergementClg[[#This Row],[Total]]</f>
        <v>0.36121673003802279</v>
      </c>
      <c r="K6" s="67" t="s">
        <v>48</v>
      </c>
      <c r="L6" s="73">
        <f>SUMIF(HebergementClg[Département],$K$6,HebergementClg[Effectifs Demi-pensionnaires])</f>
        <v>4447</v>
      </c>
      <c r="M6" s="73">
        <f>SUMIF(HebergementClg[Département],$K$6,HebergementClg[Effectifs Externes])</f>
        <v>1744</v>
      </c>
      <c r="N6" s="73">
        <f>SUMIF(HebergementClg[Département],$K$6,HebergementClg[Effectifs Internes])</f>
        <v>6</v>
      </c>
    </row>
    <row r="7" spans="1:14" s="67" customFormat="1" ht="15" customHeight="1" x14ac:dyDescent="0.2">
      <c r="A7" s="68" t="s">
        <v>48</v>
      </c>
      <c r="B7" s="68" t="s">
        <v>51</v>
      </c>
      <c r="C7" s="69" t="s">
        <v>31</v>
      </c>
      <c r="D7" s="70" t="s">
        <v>52</v>
      </c>
      <c r="E7" s="71">
        <v>249</v>
      </c>
      <c r="F7" s="71">
        <v>259</v>
      </c>
      <c r="G7" s="71">
        <v>0</v>
      </c>
      <c r="H7" s="71">
        <f>SUM(HebergementClg[[#This Row],[Effectifs Demi-pensionnaires]:[Effectifs Internes]])</f>
        <v>508</v>
      </c>
      <c r="I7" s="72">
        <f>HebergementClg[[#This Row],[Effectifs Demi-pensionnaires]]/HebergementClg[[#This Row],[Total]]</f>
        <v>0.49015748031496065</v>
      </c>
      <c r="K7" s="67" t="s">
        <v>79</v>
      </c>
      <c r="L7" s="73">
        <f>SUMIF(HebergementClg[Département],$K$7,HebergementClg[Effectifs Demi-pensionnaires])</f>
        <v>4609</v>
      </c>
      <c r="M7" s="73">
        <f>SUMIF(HebergementClg[Département],$K$7,HebergementClg[Effectifs Externes])</f>
        <v>2393</v>
      </c>
      <c r="N7" s="73">
        <f>SUMIF(HebergementClg[Département],$K$7,HebergementClg[Effectifs Internes])</f>
        <v>24</v>
      </c>
    </row>
    <row r="8" spans="1:14" s="67" customFormat="1" ht="15" customHeight="1" x14ac:dyDescent="0.2">
      <c r="A8" s="68" t="s">
        <v>48</v>
      </c>
      <c r="B8" s="68" t="s">
        <v>53</v>
      </c>
      <c r="C8" s="69" t="s">
        <v>31</v>
      </c>
      <c r="D8" s="70" t="s">
        <v>54</v>
      </c>
      <c r="E8" s="71">
        <v>382</v>
      </c>
      <c r="F8" s="71">
        <v>286</v>
      </c>
      <c r="G8" s="71">
        <v>0</v>
      </c>
      <c r="H8" s="71">
        <f>SUM(HebergementClg[[#This Row],[Effectifs Demi-pensionnaires]:[Effectifs Internes]])</f>
        <v>668</v>
      </c>
      <c r="I8" s="72">
        <f>HebergementClg[[#This Row],[Effectifs Demi-pensionnaires]]/HebergementClg[[#This Row],[Total]]</f>
        <v>0.57185628742514971</v>
      </c>
      <c r="L8" s="73">
        <f>SUM(L6:L7)</f>
        <v>9056</v>
      </c>
      <c r="M8" s="73">
        <f>SUM(M6:M7)</f>
        <v>4137</v>
      </c>
      <c r="N8" s="73">
        <f>SUM(N6:N7)</f>
        <v>30</v>
      </c>
    </row>
    <row r="9" spans="1:14" s="67" customFormat="1" ht="15" customHeight="1" x14ac:dyDescent="0.2">
      <c r="A9" s="68" t="s">
        <v>48</v>
      </c>
      <c r="B9" s="68" t="s">
        <v>55</v>
      </c>
      <c r="C9" s="69" t="s">
        <v>31</v>
      </c>
      <c r="D9" s="70" t="s">
        <v>56</v>
      </c>
      <c r="E9" s="71">
        <v>220</v>
      </c>
      <c r="F9" s="71">
        <v>28</v>
      </c>
      <c r="G9" s="71">
        <v>0</v>
      </c>
      <c r="H9" s="71">
        <f>SUM(HebergementClg[[#This Row],[Effectifs Demi-pensionnaires]:[Effectifs Internes]])</f>
        <v>248</v>
      </c>
      <c r="I9" s="72">
        <f>HebergementClg[[#This Row],[Effectifs Demi-pensionnaires]]/HebergementClg[[#This Row],[Total]]</f>
        <v>0.88709677419354838</v>
      </c>
    </row>
    <row r="10" spans="1:14" s="67" customFormat="1" ht="15" customHeight="1" x14ac:dyDescent="0.2">
      <c r="A10" s="68" t="s">
        <v>48</v>
      </c>
      <c r="B10" s="68" t="s">
        <v>57</v>
      </c>
      <c r="C10" s="69" t="s">
        <v>31</v>
      </c>
      <c r="D10" s="70" t="s">
        <v>58</v>
      </c>
      <c r="E10" s="71">
        <v>32</v>
      </c>
      <c r="F10" s="71">
        <v>8</v>
      </c>
      <c r="G10" s="71">
        <v>0</v>
      </c>
      <c r="H10" s="71">
        <f>SUM(HebergementClg[[#This Row],[Effectifs Demi-pensionnaires]:[Effectifs Internes]])</f>
        <v>40</v>
      </c>
      <c r="I10" s="72">
        <f>HebergementClg[[#This Row],[Effectifs Demi-pensionnaires]]/HebergementClg[[#This Row],[Total]]</f>
        <v>0.8</v>
      </c>
    </row>
    <row r="11" spans="1:14" s="67" customFormat="1" ht="15" customHeight="1" x14ac:dyDescent="0.2">
      <c r="A11" s="68" t="s">
        <v>48</v>
      </c>
      <c r="B11" s="68" t="s">
        <v>59</v>
      </c>
      <c r="C11" s="69" t="s">
        <v>31</v>
      </c>
      <c r="D11" s="70" t="s">
        <v>60</v>
      </c>
      <c r="E11" s="71">
        <v>506</v>
      </c>
      <c r="F11" s="71">
        <v>115</v>
      </c>
      <c r="G11" s="71">
        <v>0</v>
      </c>
      <c r="H11" s="71">
        <f>SUM(HebergementClg[[#This Row],[Effectifs Demi-pensionnaires]:[Effectifs Internes]])</f>
        <v>621</v>
      </c>
      <c r="I11" s="72">
        <f>HebergementClg[[#This Row],[Effectifs Demi-pensionnaires]]/HebergementClg[[#This Row],[Total]]</f>
        <v>0.81481481481481477</v>
      </c>
    </row>
    <row r="12" spans="1:14" s="67" customFormat="1" ht="15" customHeight="1" x14ac:dyDescent="0.2">
      <c r="A12" s="68" t="s">
        <v>48</v>
      </c>
      <c r="B12" s="68" t="s">
        <v>61</v>
      </c>
      <c r="C12" s="69" t="s">
        <v>31</v>
      </c>
      <c r="D12" s="70" t="s">
        <v>62</v>
      </c>
      <c r="E12" s="71">
        <v>159</v>
      </c>
      <c r="F12" s="71">
        <v>100</v>
      </c>
      <c r="G12" s="71">
        <v>0</v>
      </c>
      <c r="H12" s="71">
        <f>SUM(HebergementClg[[#This Row],[Effectifs Demi-pensionnaires]:[Effectifs Internes]])</f>
        <v>259</v>
      </c>
      <c r="I12" s="72">
        <f>HebergementClg[[#This Row],[Effectifs Demi-pensionnaires]]/HebergementClg[[#This Row],[Total]]</f>
        <v>0.61389961389961389</v>
      </c>
    </row>
    <row r="13" spans="1:14" s="67" customFormat="1" ht="15" customHeight="1" x14ac:dyDescent="0.2">
      <c r="A13" s="68" t="s">
        <v>48</v>
      </c>
      <c r="B13" s="68" t="s">
        <v>63</v>
      </c>
      <c r="C13" s="69" t="s">
        <v>31</v>
      </c>
      <c r="D13" s="70" t="s">
        <v>64</v>
      </c>
      <c r="E13" s="71">
        <v>134</v>
      </c>
      <c r="F13" s="71">
        <v>20</v>
      </c>
      <c r="G13" s="71">
        <v>0</v>
      </c>
      <c r="H13" s="71">
        <f>SUM(HebergementClg[[#This Row],[Effectifs Demi-pensionnaires]:[Effectifs Internes]])</f>
        <v>154</v>
      </c>
      <c r="I13" s="72">
        <f>HebergementClg[[#This Row],[Effectifs Demi-pensionnaires]]/HebergementClg[[#This Row],[Total]]</f>
        <v>0.87012987012987009</v>
      </c>
    </row>
    <row r="14" spans="1:14" s="67" customFormat="1" ht="15" customHeight="1" x14ac:dyDescent="0.2">
      <c r="A14" s="68" t="s">
        <v>48</v>
      </c>
      <c r="B14" s="68" t="s">
        <v>65</v>
      </c>
      <c r="C14" s="69" t="s">
        <v>31</v>
      </c>
      <c r="D14" s="70" t="s">
        <v>66</v>
      </c>
      <c r="E14" s="71">
        <v>134</v>
      </c>
      <c r="F14" s="71">
        <v>11</v>
      </c>
      <c r="G14" s="71">
        <v>0</v>
      </c>
      <c r="H14" s="71">
        <f>SUM(HebergementClg[[#This Row],[Effectifs Demi-pensionnaires]:[Effectifs Internes]])</f>
        <v>145</v>
      </c>
      <c r="I14" s="72">
        <f>HebergementClg[[#This Row],[Effectifs Demi-pensionnaires]]/HebergementClg[[#This Row],[Total]]</f>
        <v>0.92413793103448272</v>
      </c>
    </row>
    <row r="15" spans="1:14" s="67" customFormat="1" ht="15" customHeight="1" x14ac:dyDescent="0.2">
      <c r="A15" s="68" t="s">
        <v>48</v>
      </c>
      <c r="B15" s="68" t="s">
        <v>67</v>
      </c>
      <c r="C15" s="69" t="s">
        <v>31</v>
      </c>
      <c r="D15" s="70" t="s">
        <v>68</v>
      </c>
      <c r="E15" s="71">
        <v>111</v>
      </c>
      <c r="F15" s="71">
        <v>51</v>
      </c>
      <c r="G15" s="71">
        <v>0</v>
      </c>
      <c r="H15" s="71">
        <f>SUM(HebergementClg[[#This Row],[Effectifs Demi-pensionnaires]:[Effectifs Internes]])</f>
        <v>162</v>
      </c>
      <c r="I15" s="72">
        <f>HebergementClg[[#This Row],[Effectifs Demi-pensionnaires]]/HebergementClg[[#This Row],[Total]]</f>
        <v>0.68518518518518523</v>
      </c>
    </row>
    <row r="16" spans="1:14" s="67" customFormat="1" ht="15" customHeight="1" x14ac:dyDescent="0.2">
      <c r="A16" s="68" t="s">
        <v>48</v>
      </c>
      <c r="B16" s="68" t="s">
        <v>69</v>
      </c>
      <c r="C16" s="69" t="s">
        <v>31</v>
      </c>
      <c r="D16" s="70" t="s">
        <v>70</v>
      </c>
      <c r="E16" s="71">
        <v>401</v>
      </c>
      <c r="F16" s="71">
        <v>11</v>
      </c>
      <c r="G16" s="71">
        <v>0</v>
      </c>
      <c r="H16" s="71">
        <f>SUM(HebergementClg[[#This Row],[Effectifs Demi-pensionnaires]:[Effectifs Internes]])</f>
        <v>412</v>
      </c>
      <c r="I16" s="72">
        <f>HebergementClg[[#This Row],[Effectifs Demi-pensionnaires]]/HebergementClg[[#This Row],[Total]]</f>
        <v>0.97330097087378642</v>
      </c>
    </row>
    <row r="17" spans="1:14" s="67" customFormat="1" ht="15" customHeight="1" x14ac:dyDescent="0.2">
      <c r="A17" s="68" t="s">
        <v>48</v>
      </c>
      <c r="B17" s="68" t="s">
        <v>71</v>
      </c>
      <c r="C17" s="69" t="s">
        <v>31</v>
      </c>
      <c r="D17" s="70" t="s">
        <v>72</v>
      </c>
      <c r="E17" s="71">
        <v>686</v>
      </c>
      <c r="F17" s="71">
        <v>71</v>
      </c>
      <c r="G17" s="71">
        <v>0</v>
      </c>
      <c r="H17" s="71">
        <f>SUM(HebergementClg[[#This Row],[Effectifs Demi-pensionnaires]:[Effectifs Internes]])</f>
        <v>757</v>
      </c>
      <c r="I17" s="72">
        <f>HebergementClg[[#This Row],[Effectifs Demi-pensionnaires]]/HebergementClg[[#This Row],[Total]]</f>
        <v>0.90620871862615593</v>
      </c>
    </row>
    <row r="18" spans="1:14" s="67" customFormat="1" ht="15" customHeight="1" x14ac:dyDescent="0.2">
      <c r="A18" s="68" t="s">
        <v>48</v>
      </c>
      <c r="B18" s="68" t="s">
        <v>73</v>
      </c>
      <c r="C18" s="69" t="s">
        <v>32</v>
      </c>
      <c r="D18" s="70" t="s">
        <v>74</v>
      </c>
      <c r="E18" s="74">
        <v>166</v>
      </c>
      <c r="F18" s="74">
        <v>145</v>
      </c>
      <c r="G18" s="74">
        <v>0</v>
      </c>
      <c r="H18" s="74">
        <f>SUM(HebergementClg[[#This Row],[Effectifs Demi-pensionnaires]:[Effectifs Internes]])</f>
        <v>311</v>
      </c>
      <c r="I18" s="75">
        <f>HebergementClg[[#This Row],[Effectifs Demi-pensionnaires]]/HebergementClg[[#This Row],[Total]]</f>
        <v>0.5337620578778135</v>
      </c>
      <c r="J18" s="68"/>
      <c r="L18" s="67" t="s">
        <v>139</v>
      </c>
      <c r="M18" s="67" t="s">
        <v>140</v>
      </c>
      <c r="N18" s="67" t="s">
        <v>141</v>
      </c>
    </row>
    <row r="19" spans="1:14" s="67" customFormat="1" ht="15" customHeight="1" x14ac:dyDescent="0.2">
      <c r="A19" s="68" t="s">
        <v>48</v>
      </c>
      <c r="B19" s="68" t="s">
        <v>75</v>
      </c>
      <c r="C19" s="69" t="s">
        <v>31</v>
      </c>
      <c r="D19" s="70" t="s">
        <v>76</v>
      </c>
      <c r="E19" s="74">
        <v>582</v>
      </c>
      <c r="F19" s="74">
        <v>50</v>
      </c>
      <c r="G19" s="74">
        <v>0</v>
      </c>
      <c r="H19" s="74">
        <f>SUM(HebergementClg[[#This Row],[Effectifs Demi-pensionnaires]:[Effectifs Internes]])</f>
        <v>632</v>
      </c>
      <c r="I19" s="75">
        <f>HebergementClg[[#This Row],[Effectifs Demi-pensionnaires]]/HebergementClg[[#This Row],[Total]]</f>
        <v>0.92088607594936711</v>
      </c>
      <c r="J19" s="68"/>
      <c r="K19" s="67" t="s">
        <v>31</v>
      </c>
      <c r="L19" s="73">
        <f>SUMIF(HebergementClg[Secteur],$K$19,HebergementClg[Effectifs Demi-pensionnaires])</f>
        <v>8730</v>
      </c>
      <c r="M19" s="73">
        <f>SUMIF(HebergementClg[Secteur],$K$19,HebergementClg[Effectifs Externes])</f>
        <v>3713</v>
      </c>
      <c r="N19" s="73">
        <f>SUMIF(HebergementClg[Secteur],$K$19,HebergementClg[Effectifs Internes])</f>
        <v>30</v>
      </c>
    </row>
    <row r="20" spans="1:14" s="67" customFormat="1" ht="15" customHeight="1" x14ac:dyDescent="0.2">
      <c r="A20" s="68" t="s">
        <v>48</v>
      </c>
      <c r="B20" s="68" t="s">
        <v>77</v>
      </c>
      <c r="C20" s="69" t="s">
        <v>31</v>
      </c>
      <c r="D20" s="70" t="s">
        <v>78</v>
      </c>
      <c r="E20" s="71">
        <v>400</v>
      </c>
      <c r="F20" s="71">
        <v>91</v>
      </c>
      <c r="G20" s="71">
        <v>0</v>
      </c>
      <c r="H20" s="71">
        <f>SUM(HebergementClg[[#This Row],[Effectifs Demi-pensionnaires]:[Effectifs Internes]])</f>
        <v>491</v>
      </c>
      <c r="I20" s="72">
        <f>HebergementClg[[#This Row],[Effectifs Demi-pensionnaires]]/HebergementClg[[#This Row],[Total]]</f>
        <v>0.81466395112016299</v>
      </c>
      <c r="K20" s="67" t="s">
        <v>32</v>
      </c>
      <c r="L20" s="73">
        <f>SUMIF(HebergementClg[Secteur],$K$20,HebergementClg[Effectifs Demi-pensionnaires])</f>
        <v>326</v>
      </c>
      <c r="M20" s="73">
        <f>SUMIF(HebergementClg[Secteur],$K$20,HebergementClg[Effectifs Externes])</f>
        <v>424</v>
      </c>
      <c r="N20" s="73">
        <f>SUMIF(HebergementClg[Secteur],$K$20,HebergementClg[Effectifs Internes])</f>
        <v>0</v>
      </c>
    </row>
    <row r="21" spans="1:14" s="67" customFormat="1" ht="15" customHeight="1" x14ac:dyDescent="0.2">
      <c r="A21" s="68" t="s">
        <v>79</v>
      </c>
      <c r="B21" s="68" t="s">
        <v>80</v>
      </c>
      <c r="C21" s="69" t="s">
        <v>31</v>
      </c>
      <c r="D21" s="70" t="s">
        <v>81</v>
      </c>
      <c r="E21" s="71">
        <v>160</v>
      </c>
      <c r="F21" s="71">
        <v>161</v>
      </c>
      <c r="G21" s="71">
        <v>24</v>
      </c>
      <c r="H21" s="71">
        <f>SUM(HebergementClg[[#This Row],[Effectifs Demi-pensionnaires]:[Effectifs Internes]])</f>
        <v>345</v>
      </c>
      <c r="I21" s="72">
        <f>HebergementClg[[#This Row],[Effectifs Demi-pensionnaires]]/HebergementClg[[#This Row],[Total]]</f>
        <v>0.46376811594202899</v>
      </c>
      <c r="L21" s="73">
        <f>SUM(L19:L20)</f>
        <v>9056</v>
      </c>
      <c r="M21" s="73">
        <f>SUM(M19:M20)</f>
        <v>4137</v>
      </c>
      <c r="N21" s="73">
        <f>SUM(N19:N20)</f>
        <v>30</v>
      </c>
    </row>
    <row r="22" spans="1:14" s="67" customFormat="1" ht="15" customHeight="1" x14ac:dyDescent="0.2">
      <c r="A22" s="68" t="s">
        <v>79</v>
      </c>
      <c r="B22" s="68" t="s">
        <v>82</v>
      </c>
      <c r="C22" s="69" t="s">
        <v>31</v>
      </c>
      <c r="D22" s="70" t="s">
        <v>83</v>
      </c>
      <c r="E22" s="71">
        <v>100</v>
      </c>
      <c r="F22" s="71">
        <v>164</v>
      </c>
      <c r="G22" s="71">
        <v>0</v>
      </c>
      <c r="H22" s="71">
        <f>SUM(HebergementClg[[#This Row],[Effectifs Demi-pensionnaires]:[Effectifs Internes]])</f>
        <v>264</v>
      </c>
      <c r="I22" s="72">
        <f>HebergementClg[[#This Row],[Effectifs Demi-pensionnaires]]/HebergementClg[[#This Row],[Total]]</f>
        <v>0.37878787878787878</v>
      </c>
    </row>
    <row r="23" spans="1:14" s="67" customFormat="1" ht="15" customHeight="1" x14ac:dyDescent="0.2">
      <c r="A23" s="68" t="s">
        <v>79</v>
      </c>
      <c r="B23" s="68" t="s">
        <v>84</v>
      </c>
      <c r="C23" s="69" t="s">
        <v>31</v>
      </c>
      <c r="D23" s="70" t="s">
        <v>85</v>
      </c>
      <c r="E23" s="71">
        <v>183</v>
      </c>
      <c r="F23" s="71">
        <v>489</v>
      </c>
      <c r="G23" s="71">
        <v>0</v>
      </c>
      <c r="H23" s="71">
        <f>SUM(HebergementClg[[#This Row],[Effectifs Demi-pensionnaires]:[Effectifs Internes]])</f>
        <v>672</v>
      </c>
      <c r="I23" s="72">
        <f>HebergementClg[[#This Row],[Effectifs Demi-pensionnaires]]/HebergementClg[[#This Row],[Total]]</f>
        <v>0.27232142857142855</v>
      </c>
    </row>
    <row r="24" spans="1:14" s="67" customFormat="1" ht="15" customHeight="1" x14ac:dyDescent="0.2">
      <c r="A24" s="68" t="s">
        <v>79</v>
      </c>
      <c r="B24" s="68" t="s">
        <v>86</v>
      </c>
      <c r="C24" s="69" t="s">
        <v>31</v>
      </c>
      <c r="D24" s="70" t="s">
        <v>87</v>
      </c>
      <c r="E24" s="71">
        <v>326</v>
      </c>
      <c r="F24" s="71">
        <v>119</v>
      </c>
      <c r="G24" s="71">
        <v>0</v>
      </c>
      <c r="H24" s="71">
        <f>SUM(HebergementClg[[#This Row],[Effectifs Demi-pensionnaires]:[Effectifs Internes]])</f>
        <v>445</v>
      </c>
      <c r="I24" s="72">
        <f>HebergementClg[[#This Row],[Effectifs Demi-pensionnaires]]/HebergementClg[[#This Row],[Total]]</f>
        <v>0.73258426966292134</v>
      </c>
    </row>
    <row r="25" spans="1:14" s="67" customFormat="1" ht="15" customHeight="1" x14ac:dyDescent="0.2">
      <c r="A25" s="68" t="s">
        <v>79</v>
      </c>
      <c r="B25" s="68" t="s">
        <v>88</v>
      </c>
      <c r="C25" s="69" t="s">
        <v>31</v>
      </c>
      <c r="D25" s="70" t="s">
        <v>89</v>
      </c>
      <c r="E25" s="71">
        <v>248</v>
      </c>
      <c r="F25" s="71">
        <v>99</v>
      </c>
      <c r="G25" s="71">
        <v>0</v>
      </c>
      <c r="H25" s="71">
        <f>SUM(HebergementClg[[#This Row],[Effectifs Demi-pensionnaires]:[Effectifs Internes]])</f>
        <v>347</v>
      </c>
      <c r="I25" s="72">
        <f>HebergementClg[[#This Row],[Effectifs Demi-pensionnaires]]/HebergementClg[[#This Row],[Total]]</f>
        <v>0.71469740634005763</v>
      </c>
    </row>
    <row r="26" spans="1:14" s="67" customFormat="1" ht="15" customHeight="1" x14ac:dyDescent="0.2">
      <c r="A26" s="68" t="s">
        <v>79</v>
      </c>
      <c r="B26" s="68" t="s">
        <v>90</v>
      </c>
      <c r="C26" s="69" t="s">
        <v>31</v>
      </c>
      <c r="D26" s="70" t="s">
        <v>81</v>
      </c>
      <c r="E26" s="71">
        <v>192</v>
      </c>
      <c r="F26" s="71">
        <v>250</v>
      </c>
      <c r="G26" s="71">
        <v>0</v>
      </c>
      <c r="H26" s="71">
        <f>SUM(HebergementClg[[#This Row],[Effectifs Demi-pensionnaires]:[Effectifs Internes]])</f>
        <v>442</v>
      </c>
      <c r="I26" s="72">
        <f>HebergementClg[[#This Row],[Effectifs Demi-pensionnaires]]/HebergementClg[[#This Row],[Total]]</f>
        <v>0.43438914027149322</v>
      </c>
    </row>
    <row r="27" spans="1:14" s="67" customFormat="1" ht="15" customHeight="1" x14ac:dyDescent="0.2">
      <c r="A27" s="68" t="s">
        <v>79</v>
      </c>
      <c r="B27" s="68" t="s">
        <v>91</v>
      </c>
      <c r="C27" s="69" t="s">
        <v>31</v>
      </c>
      <c r="D27" s="70" t="s">
        <v>92</v>
      </c>
      <c r="E27" s="71">
        <v>90</v>
      </c>
      <c r="F27" s="71">
        <v>15</v>
      </c>
      <c r="G27" s="71">
        <v>0</v>
      </c>
      <c r="H27" s="71">
        <f>SUM(HebergementClg[[#This Row],[Effectifs Demi-pensionnaires]:[Effectifs Internes]])</f>
        <v>105</v>
      </c>
      <c r="I27" s="72">
        <f>HebergementClg[[#This Row],[Effectifs Demi-pensionnaires]]/HebergementClg[[#This Row],[Total]]</f>
        <v>0.8571428571428571</v>
      </c>
    </row>
    <row r="28" spans="1:14" s="67" customFormat="1" ht="15" customHeight="1" x14ac:dyDescent="0.2">
      <c r="A28" s="68" t="s">
        <v>79</v>
      </c>
      <c r="B28" s="68" t="s">
        <v>93</v>
      </c>
      <c r="C28" s="69" t="s">
        <v>31</v>
      </c>
      <c r="D28" s="70" t="s">
        <v>94</v>
      </c>
      <c r="E28" s="71">
        <v>118</v>
      </c>
      <c r="F28" s="71">
        <v>4</v>
      </c>
      <c r="G28" s="71">
        <v>0</v>
      </c>
      <c r="H28" s="71">
        <f>SUM(HebergementClg[[#This Row],[Effectifs Demi-pensionnaires]:[Effectifs Internes]])</f>
        <v>122</v>
      </c>
      <c r="I28" s="72">
        <f>HebergementClg[[#This Row],[Effectifs Demi-pensionnaires]]/HebergementClg[[#This Row],[Total]]</f>
        <v>0.96721311475409832</v>
      </c>
    </row>
    <row r="29" spans="1:14" s="67" customFormat="1" ht="15" customHeight="1" x14ac:dyDescent="0.2">
      <c r="A29" s="68" t="s">
        <v>79</v>
      </c>
      <c r="B29" s="68" t="s">
        <v>95</v>
      </c>
      <c r="C29" s="69" t="s">
        <v>31</v>
      </c>
      <c r="D29" s="70" t="s">
        <v>96</v>
      </c>
      <c r="E29" s="71">
        <v>217</v>
      </c>
      <c r="F29" s="71">
        <v>19</v>
      </c>
      <c r="G29" s="71">
        <v>0</v>
      </c>
      <c r="H29" s="71">
        <f>SUM(HebergementClg[[#This Row],[Effectifs Demi-pensionnaires]:[Effectifs Internes]])</f>
        <v>236</v>
      </c>
      <c r="I29" s="72">
        <f>HebergementClg[[#This Row],[Effectifs Demi-pensionnaires]]/HebergementClg[[#This Row],[Total]]</f>
        <v>0.91949152542372881</v>
      </c>
    </row>
    <row r="30" spans="1:14" s="67" customFormat="1" ht="15" customHeight="1" x14ac:dyDescent="0.2">
      <c r="A30" s="68" t="s">
        <v>79</v>
      </c>
      <c r="B30" s="68" t="s">
        <v>97</v>
      </c>
      <c r="C30" s="69" t="s">
        <v>31</v>
      </c>
      <c r="D30" s="70" t="s">
        <v>98</v>
      </c>
      <c r="E30" s="71">
        <v>596</v>
      </c>
      <c r="F30" s="71">
        <v>182</v>
      </c>
      <c r="G30" s="71">
        <v>0</v>
      </c>
      <c r="H30" s="71">
        <f>SUM(HebergementClg[[#This Row],[Effectifs Demi-pensionnaires]:[Effectifs Internes]])</f>
        <v>778</v>
      </c>
      <c r="I30" s="72">
        <f>HebergementClg[[#This Row],[Effectifs Demi-pensionnaires]]/HebergementClg[[#This Row],[Total]]</f>
        <v>0.76606683804627251</v>
      </c>
    </row>
    <row r="31" spans="1:14" s="67" customFormat="1" ht="15" customHeight="1" x14ac:dyDescent="0.2">
      <c r="A31" s="68" t="s">
        <v>79</v>
      </c>
      <c r="B31" s="68" t="s">
        <v>99</v>
      </c>
      <c r="C31" s="69" t="s">
        <v>31</v>
      </c>
      <c r="D31" s="70" t="s">
        <v>100</v>
      </c>
      <c r="E31" s="71">
        <v>756</v>
      </c>
      <c r="F31" s="71">
        <v>67</v>
      </c>
      <c r="G31" s="71">
        <v>0</v>
      </c>
      <c r="H31" s="71">
        <f>SUM(HebergementClg[[#This Row],[Effectifs Demi-pensionnaires]:[Effectifs Internes]])</f>
        <v>823</v>
      </c>
      <c r="I31" s="72">
        <f>HebergementClg[[#This Row],[Effectifs Demi-pensionnaires]]/HebergementClg[[#This Row],[Total]]</f>
        <v>0.91859052247873629</v>
      </c>
    </row>
    <row r="32" spans="1:14" s="67" customFormat="1" ht="15" customHeight="1" x14ac:dyDescent="0.2">
      <c r="A32" s="68" t="s">
        <v>79</v>
      </c>
      <c r="B32" s="68" t="s">
        <v>101</v>
      </c>
      <c r="C32" s="69" t="s">
        <v>32</v>
      </c>
      <c r="D32" s="70" t="s">
        <v>102</v>
      </c>
      <c r="E32" s="71">
        <v>160</v>
      </c>
      <c r="F32" s="71">
        <v>279</v>
      </c>
      <c r="G32" s="71">
        <v>0</v>
      </c>
      <c r="H32" s="71">
        <f>SUM(HebergementClg[[#This Row],[Effectifs Demi-pensionnaires]:[Effectifs Internes]])</f>
        <v>439</v>
      </c>
      <c r="I32" s="72">
        <f>HebergementClg[[#This Row],[Effectifs Demi-pensionnaires]]/HebergementClg[[#This Row],[Total]]</f>
        <v>0.36446469248291574</v>
      </c>
    </row>
    <row r="33" spans="1:11" s="67" customFormat="1" ht="15" customHeight="1" x14ac:dyDescent="0.2">
      <c r="A33" s="68" t="s">
        <v>79</v>
      </c>
      <c r="B33" s="68" t="s">
        <v>103</v>
      </c>
      <c r="C33" s="69" t="s">
        <v>31</v>
      </c>
      <c r="D33" s="70" t="s">
        <v>104</v>
      </c>
      <c r="E33" s="71">
        <v>499</v>
      </c>
      <c r="F33" s="71">
        <v>65</v>
      </c>
      <c r="G33" s="71">
        <v>0</v>
      </c>
      <c r="H33" s="71">
        <f>SUM(HebergementClg[[#This Row],[Effectifs Demi-pensionnaires]:[Effectifs Internes]])</f>
        <v>564</v>
      </c>
      <c r="I33" s="72">
        <f>HebergementClg[[#This Row],[Effectifs Demi-pensionnaires]]/HebergementClg[[#This Row],[Total]]</f>
        <v>0.88475177304964536</v>
      </c>
    </row>
    <row r="34" spans="1:11" s="67" customFormat="1" ht="15" customHeight="1" x14ac:dyDescent="0.2">
      <c r="A34" s="68" t="s">
        <v>79</v>
      </c>
      <c r="B34" s="68" t="s">
        <v>105</v>
      </c>
      <c r="C34" s="69" t="s">
        <v>31</v>
      </c>
      <c r="D34" s="70" t="s">
        <v>106</v>
      </c>
      <c r="E34" s="71">
        <v>247</v>
      </c>
      <c r="F34" s="71">
        <v>218</v>
      </c>
      <c r="G34" s="71">
        <v>0</v>
      </c>
      <c r="H34" s="71">
        <f>SUM(HebergementClg[[#This Row],[Effectifs Demi-pensionnaires]:[Effectifs Internes]])</f>
        <v>465</v>
      </c>
      <c r="I34" s="72">
        <f>HebergementClg[[#This Row],[Effectifs Demi-pensionnaires]]/HebergementClg[[#This Row],[Total]]</f>
        <v>0.53118279569892468</v>
      </c>
    </row>
    <row r="35" spans="1:11" s="67" customFormat="1" ht="15" customHeight="1" x14ac:dyDescent="0.2">
      <c r="A35" s="68" t="s">
        <v>79</v>
      </c>
      <c r="B35" s="68" t="s">
        <v>107</v>
      </c>
      <c r="C35" s="69" t="s">
        <v>31</v>
      </c>
      <c r="D35" s="70" t="s">
        <v>108</v>
      </c>
      <c r="E35" s="71">
        <v>236</v>
      </c>
      <c r="F35" s="71">
        <v>200</v>
      </c>
      <c r="G35" s="71">
        <v>0</v>
      </c>
      <c r="H35" s="71">
        <f>SUM(HebergementClg[[#This Row],[Effectifs Demi-pensionnaires]:[Effectifs Internes]])</f>
        <v>436</v>
      </c>
      <c r="I35" s="72">
        <f>HebergementClg[[#This Row],[Effectifs Demi-pensionnaires]]/HebergementClg[[#This Row],[Total]]</f>
        <v>0.54128440366972475</v>
      </c>
    </row>
    <row r="36" spans="1:11" s="67" customFormat="1" ht="15" customHeight="1" x14ac:dyDescent="0.2">
      <c r="A36" s="68" t="s">
        <v>79</v>
      </c>
      <c r="B36" s="68" t="s">
        <v>109</v>
      </c>
      <c r="C36" s="69" t="s">
        <v>31</v>
      </c>
      <c r="D36" s="70" t="s">
        <v>110</v>
      </c>
      <c r="E36" s="71">
        <v>481</v>
      </c>
      <c r="F36" s="71">
        <v>62</v>
      </c>
      <c r="G36" s="71">
        <v>0</v>
      </c>
      <c r="H36" s="71">
        <f>SUM(HebergementClg[[#This Row],[Effectifs Demi-pensionnaires]:[Effectifs Internes]])</f>
        <v>543</v>
      </c>
      <c r="I36" s="72">
        <f>HebergementClg[[#This Row],[Effectifs Demi-pensionnaires]]/HebergementClg[[#This Row],[Total]]</f>
        <v>0.88581952117863716</v>
      </c>
    </row>
    <row r="37" spans="1:11" s="67" customFormat="1" ht="11.25" x14ac:dyDescent="0.2">
      <c r="A37" s="102" t="s">
        <v>43</v>
      </c>
      <c r="B37" s="102"/>
      <c r="C37" s="122"/>
      <c r="D37" s="123"/>
      <c r="E37" s="124">
        <f>SUBTOTAL(109,HebergementClg[Effectifs Demi-pensionnaires])</f>
        <v>9056</v>
      </c>
      <c r="F37" s="124">
        <f>SUBTOTAL(109,HebergementClg[Effectifs Externes])</f>
        <v>4137</v>
      </c>
      <c r="G37" s="124">
        <f>SUBTOTAL(109,HebergementClg[Effectifs Internes])</f>
        <v>30</v>
      </c>
      <c r="H37" s="124">
        <f>SUBTOTAL(109,HebergementClg[Total])</f>
        <v>13223</v>
      </c>
      <c r="I37" s="125">
        <f>HebergementClg[[#Totals],[Effectifs Demi-pensionnaires]]/HebergementClg[[#Totals],[Total]]</f>
        <v>0.68486727671481507</v>
      </c>
      <c r="J37" s="68"/>
      <c r="K37" s="76"/>
    </row>
    <row r="38" spans="1:11" s="67" customFormat="1" ht="11.25" x14ac:dyDescent="0.2">
      <c r="A38" s="77" t="s">
        <v>148</v>
      </c>
      <c r="B38" s="68"/>
      <c r="C38" s="69"/>
      <c r="D38" s="70"/>
      <c r="E38" s="79">
        <f>HebergementClg[[#Totals],[Effectifs Demi-pensionnaires]]/HebergementClg[[#Totals],[Total]]</f>
        <v>0.68486727671481507</v>
      </c>
      <c r="F38" s="79">
        <f>HebergementClg[[#Totals],[Effectifs Externes]]/HebergementClg[[#Totals],[Total]]</f>
        <v>0.31286394917946003</v>
      </c>
      <c r="G38" s="79">
        <f>HebergementClg[[#Totals],[Effectifs Internes]]/HebergementClg[[#Totals],[Total]]</f>
        <v>2.2687741057248732E-3</v>
      </c>
      <c r="H38" s="68"/>
      <c r="I38" s="68"/>
      <c r="J38" s="68"/>
      <c r="K38" s="76"/>
    </row>
    <row r="39" spans="1:11" s="67" customFormat="1" ht="11.25" x14ac:dyDescent="0.2">
      <c r="B39" s="68"/>
      <c r="C39" s="69"/>
      <c r="D39" s="70"/>
      <c r="E39" s="68"/>
      <c r="F39" s="69"/>
      <c r="G39" s="70"/>
      <c r="H39" s="68"/>
      <c r="I39" s="68"/>
    </row>
    <row r="40" spans="1:11" s="67" customFormat="1" ht="11.25" x14ac:dyDescent="0.2">
      <c r="A40" s="102" t="s">
        <v>153</v>
      </c>
      <c r="B40" s="68"/>
      <c r="C40" s="69"/>
      <c r="D40" s="70"/>
      <c r="E40" s="103">
        <f>+HebergementClg[[#Totals],[Effectifs Demi-pensionnaires]]-E18-E32</f>
        <v>8730</v>
      </c>
      <c r="F40" s="103">
        <f>+HebergementClg[[#Totals],[Effectifs Externes]]-F18-F32</f>
        <v>3713</v>
      </c>
      <c r="G40" s="103">
        <f>+HebergementClg[[#Totals],[Effectifs Internes]]-G18-G32</f>
        <v>30</v>
      </c>
      <c r="H40" s="103">
        <f>+HebergementClg[[#Totals],[Total]]-H18-H32</f>
        <v>12473</v>
      </c>
      <c r="I40" s="68"/>
    </row>
    <row r="41" spans="1:11" s="67" customFormat="1" ht="11.25" x14ac:dyDescent="0.2">
      <c r="A41" s="77" t="s">
        <v>148</v>
      </c>
      <c r="B41" s="68"/>
      <c r="C41" s="69"/>
      <c r="D41" s="70"/>
      <c r="E41" s="104">
        <f>+E40/H40</f>
        <v>0.69991180950853848</v>
      </c>
      <c r="F41" s="104">
        <f>+F40/H40</f>
        <v>0.29768299526978276</v>
      </c>
      <c r="G41" s="104">
        <f>+G40/H40</f>
        <v>2.4051952216788261E-3</v>
      </c>
      <c r="H41" s="68"/>
      <c r="I41" s="68"/>
    </row>
    <row r="42" spans="1:11" s="67" customFormat="1" ht="11.25" x14ac:dyDescent="0.2">
      <c r="B42" s="68"/>
      <c r="C42" s="69"/>
      <c r="D42" s="70"/>
      <c r="E42" s="68"/>
      <c r="F42" s="69"/>
      <c r="G42" s="70"/>
      <c r="H42" s="68"/>
      <c r="I42" s="68"/>
    </row>
    <row r="43" spans="1:11" s="67" customFormat="1" ht="11.25" x14ac:dyDescent="0.2">
      <c r="A43" s="67" t="s">
        <v>144</v>
      </c>
      <c r="E43" s="73"/>
      <c r="F43" s="73"/>
      <c r="G43" s="73"/>
      <c r="H43" s="73"/>
    </row>
    <row r="44" spans="1:11" s="67" customFormat="1" ht="11.25" x14ac:dyDescent="0.2">
      <c r="A44" s="67" t="s">
        <v>145</v>
      </c>
    </row>
    <row r="45" spans="1:11" x14ac:dyDescent="0.2">
      <c r="A45" s="67" t="s">
        <v>146</v>
      </c>
      <c r="B45" s="67"/>
      <c r="C45" s="67"/>
      <c r="D45" s="67"/>
      <c r="E45" s="67"/>
      <c r="F45" s="67"/>
      <c r="G45" s="67"/>
      <c r="H45" s="67"/>
      <c r="I45" s="67"/>
    </row>
    <row r="46" spans="1:11" x14ac:dyDescent="0.2">
      <c r="A46" s="67"/>
    </row>
  </sheetData>
  <conditionalFormatting sqref="I6:I36">
    <cfRule type="top10" dxfId="29" priority="1" bottom="1" rank="1"/>
    <cfRule type="top10" dxfId="28" priority="2" rank="1"/>
    <cfRule type="aboveAverage" dxfId="27" priority="3" aboveAverage="0"/>
  </conditionalFormatting>
  <pageMargins left="0.78740157480314965" right="0.78740157480314965" top="0.98425196850393704" bottom="0.98425196850393704" header="0.51181102362204722" footer="0.51181102362204722"/>
  <pageSetup paperSize="9" scale="49" orientation="portrait" r:id="rId1"/>
  <headerFooter alignWithMargins="0">
    <oddHeader xml:space="preserve">&amp;LL'académie de Corse en chiffres
Edition 2020
</oddHeader>
    <oddFooter>&amp;CRectorat de Corse
Division de la Prospective et des Statistiques Académiques&amp;R&amp;P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tabSelected="1" workbookViewId="0">
      <selection activeCell="D33" sqref="D33"/>
    </sheetView>
  </sheetViews>
  <sheetFormatPr baseColWidth="10" defaultRowHeight="12.75" x14ac:dyDescent="0.2"/>
  <cols>
    <col min="1" max="1" width="11.7109375" style="47" customWidth="1"/>
    <col min="2" max="2" width="8.42578125" style="47" bestFit="1" customWidth="1"/>
    <col min="3" max="3" width="7.140625" style="47" bestFit="1" customWidth="1"/>
    <col min="4" max="4" width="4.85546875" style="47" bestFit="1" customWidth="1"/>
    <col min="5" max="5" width="19" style="47" bestFit="1" customWidth="1"/>
    <col min="6" max="10" width="12.7109375" style="47" customWidth="1"/>
    <col min="11" max="11" width="24.42578125" style="47" bestFit="1" customWidth="1"/>
    <col min="12" max="12" width="15.7109375" style="47" customWidth="1"/>
    <col min="13" max="13" width="16.5703125" style="47" bestFit="1" customWidth="1"/>
    <col min="14" max="16384" width="11.42578125" style="47"/>
  </cols>
  <sheetData>
    <row r="1" spans="1:15" ht="17.25" thickBot="1" x14ac:dyDescent="0.25">
      <c r="A1" s="20" t="s">
        <v>147</v>
      </c>
    </row>
    <row r="2" spans="1:15" ht="13.5" thickTop="1" x14ac:dyDescent="0.2"/>
    <row r="3" spans="1:15" ht="15" x14ac:dyDescent="0.2">
      <c r="A3" s="97" t="str">
        <f>'2.04 Notice'!A19</f>
        <v>[5] Répartition des lycéens par établissement selon le mode d'hébergement à la rentrée 2025</v>
      </c>
    </row>
    <row r="4" spans="1:15" x14ac:dyDescent="0.2">
      <c r="A4" s="48"/>
    </row>
    <row r="5" spans="1:15" s="48" customFormat="1" ht="11.25" x14ac:dyDescent="0.2">
      <c r="A5" s="49"/>
    </row>
    <row r="6" spans="1:15" s="48" customFormat="1" ht="11.25" x14ac:dyDescent="0.2">
      <c r="A6" s="49"/>
    </row>
    <row r="7" spans="1:15" s="48" customFormat="1" ht="11.25" x14ac:dyDescent="0.2">
      <c r="B7" s="52"/>
      <c r="C7" s="50"/>
      <c r="D7" s="50"/>
      <c r="E7" s="52"/>
      <c r="F7" s="52"/>
      <c r="G7" s="52"/>
      <c r="H7" s="52"/>
      <c r="I7" s="52"/>
    </row>
    <row r="8" spans="1:15" s="54" customFormat="1" ht="22.5" x14ac:dyDescent="0.2">
      <c r="A8" s="53" t="s">
        <v>45</v>
      </c>
      <c r="B8" s="53" t="s">
        <v>46</v>
      </c>
      <c r="C8" s="53" t="s">
        <v>29</v>
      </c>
      <c r="D8" s="53" t="s">
        <v>111</v>
      </c>
      <c r="E8" s="53" t="s">
        <v>47</v>
      </c>
      <c r="F8" s="56" t="s">
        <v>139</v>
      </c>
      <c r="G8" s="56" t="s">
        <v>140</v>
      </c>
      <c r="H8" s="56" t="s">
        <v>141</v>
      </c>
      <c r="I8" s="56" t="s">
        <v>43</v>
      </c>
      <c r="J8" s="63" t="s">
        <v>143</v>
      </c>
      <c r="L8" s="48"/>
      <c r="M8" s="62" t="s">
        <v>139</v>
      </c>
      <c r="N8" s="62" t="s">
        <v>140</v>
      </c>
      <c r="O8" s="62" t="s">
        <v>141</v>
      </c>
    </row>
    <row r="9" spans="1:15" s="48" customFormat="1" ht="15" customHeight="1" x14ac:dyDescent="0.2">
      <c r="A9" s="94" t="s">
        <v>48</v>
      </c>
      <c r="B9" s="68" t="s">
        <v>112</v>
      </c>
      <c r="C9" s="69" t="s">
        <v>31</v>
      </c>
      <c r="D9" s="69" t="s">
        <v>42</v>
      </c>
      <c r="E9" s="68" t="s">
        <v>52</v>
      </c>
      <c r="F9" s="95">
        <v>195</v>
      </c>
      <c r="G9" s="95">
        <v>533</v>
      </c>
      <c r="H9" s="95">
        <v>2</v>
      </c>
      <c r="I9" s="95">
        <f>SUM(HébergementLycée[[#This Row],[Effectifs Demi-pensionnaires]:[Effectifs Internes]])</f>
        <v>730</v>
      </c>
      <c r="J9" s="96">
        <f>HébergementLycée[[#This Row],[Effectifs Demi-pensionnaires]]/HébergementLycée[[#This Row],[Total]]</f>
        <v>0.26712328767123289</v>
      </c>
      <c r="L9" s="48" t="s">
        <v>48</v>
      </c>
      <c r="M9" s="60">
        <f>SUMIF(HébergementLycée[Département],"Corse du sud",HébergementLycée[Effectifs Demi-pensionnaires])</f>
        <v>1735</v>
      </c>
      <c r="N9" s="60">
        <f>SUMIF(HébergementLycée[Département],"Corse du sud",HébergementLycée[Effectifs Externes])</f>
        <v>2289</v>
      </c>
      <c r="O9" s="60">
        <f>SUMIF(HébergementLycée[Département],"Corse du sud",HébergementLycée[Effectifs Internes])</f>
        <v>246</v>
      </c>
    </row>
    <row r="10" spans="1:15" s="48" customFormat="1" ht="15" customHeight="1" x14ac:dyDescent="0.2">
      <c r="A10" s="94" t="s">
        <v>48</v>
      </c>
      <c r="B10" s="68" t="s">
        <v>113</v>
      </c>
      <c r="C10" s="69" t="s">
        <v>31</v>
      </c>
      <c r="D10" s="69" t="s">
        <v>42</v>
      </c>
      <c r="E10" s="68" t="s">
        <v>54</v>
      </c>
      <c r="F10" s="95">
        <v>507</v>
      </c>
      <c r="G10" s="95">
        <v>634</v>
      </c>
      <c r="H10" s="95">
        <v>31</v>
      </c>
      <c r="I10" s="95">
        <f>SUM(HébergementLycée[[#This Row],[Effectifs Demi-pensionnaires]:[Effectifs Internes]])</f>
        <v>1172</v>
      </c>
      <c r="J10" s="96">
        <f>HébergementLycée[[#This Row],[Effectifs Demi-pensionnaires]]/HébergementLycée[[#This Row],[Total]]</f>
        <v>0.4325938566552901</v>
      </c>
      <c r="L10" s="48" t="s">
        <v>79</v>
      </c>
      <c r="M10" s="60">
        <f>SUMIF(HébergementLycée[Département],"Haute Corse",HébergementLycée[Effectifs Demi-pensionnaires])</f>
        <v>1704</v>
      </c>
      <c r="N10" s="60">
        <f>SUMIF(HébergementLycée[Département],"Haute Corse",HébergementLycée[Effectifs Externes])</f>
        <v>2711</v>
      </c>
      <c r="O10" s="60">
        <f>SUMIF(HébergementLycée[Département],"Haute Corse",HébergementLycée[Effectifs Internes])</f>
        <v>379</v>
      </c>
    </row>
    <row r="11" spans="1:15" s="48" customFormat="1" ht="15" customHeight="1" x14ac:dyDescent="0.2">
      <c r="A11" s="94" t="s">
        <v>48</v>
      </c>
      <c r="B11" s="68" t="s">
        <v>114</v>
      </c>
      <c r="C11" s="69" t="s">
        <v>31</v>
      </c>
      <c r="D11" s="69" t="s">
        <v>41</v>
      </c>
      <c r="E11" s="68" t="s">
        <v>115</v>
      </c>
      <c r="F11" s="95">
        <v>75</v>
      </c>
      <c r="G11" s="95">
        <v>227</v>
      </c>
      <c r="H11" s="95">
        <v>54</v>
      </c>
      <c r="I11" s="95">
        <f>SUM(HébergementLycée[[#This Row],[Effectifs Demi-pensionnaires]:[Effectifs Internes]])</f>
        <v>356</v>
      </c>
      <c r="J11" s="96">
        <f>HébergementLycée[[#This Row],[Effectifs Demi-pensionnaires]]/HébergementLycée[[#This Row],[Total]]</f>
        <v>0.21067415730337077</v>
      </c>
      <c r="M11" s="60">
        <f>SUM(M9:M10)</f>
        <v>3439</v>
      </c>
      <c r="N11" s="60">
        <f>SUM(N9:N10)</f>
        <v>5000</v>
      </c>
      <c r="O11" s="60">
        <f>SUM(O9:O10)</f>
        <v>625</v>
      </c>
    </row>
    <row r="12" spans="1:15" s="48" customFormat="1" ht="15" customHeight="1" x14ac:dyDescent="0.2">
      <c r="A12" s="94" t="s">
        <v>48</v>
      </c>
      <c r="B12" s="68" t="s">
        <v>116</v>
      </c>
      <c r="C12" s="69" t="s">
        <v>31</v>
      </c>
      <c r="D12" s="69" t="s">
        <v>41</v>
      </c>
      <c r="E12" s="68" t="s">
        <v>117</v>
      </c>
      <c r="F12" s="95">
        <v>138</v>
      </c>
      <c r="G12" s="95">
        <v>291</v>
      </c>
      <c r="H12" s="95">
        <v>65</v>
      </c>
      <c r="I12" s="95">
        <f>SUM(HébergementLycée[[#This Row],[Effectifs Demi-pensionnaires]:[Effectifs Internes]])</f>
        <v>494</v>
      </c>
      <c r="J12" s="96">
        <f>HébergementLycée[[#This Row],[Effectifs Demi-pensionnaires]]/HébergementLycée[[#This Row],[Total]]</f>
        <v>0.2793522267206478</v>
      </c>
    </row>
    <row r="13" spans="1:15" s="48" customFormat="1" ht="15" customHeight="1" x14ac:dyDescent="0.2">
      <c r="A13" s="94" t="s">
        <v>48</v>
      </c>
      <c r="B13" s="68" t="s">
        <v>118</v>
      </c>
      <c r="C13" s="69" t="s">
        <v>31</v>
      </c>
      <c r="D13" s="69" t="s">
        <v>119</v>
      </c>
      <c r="E13" s="68" t="s">
        <v>68</v>
      </c>
      <c r="F13" s="95">
        <v>144</v>
      </c>
      <c r="G13" s="95">
        <v>72</v>
      </c>
      <c r="H13" s="95">
        <v>32</v>
      </c>
      <c r="I13" s="95">
        <f>SUM(HébergementLycée[[#This Row],[Effectifs Demi-pensionnaires]:[Effectifs Internes]])</f>
        <v>248</v>
      </c>
      <c r="J13" s="96">
        <f>HébergementLycée[[#This Row],[Effectifs Demi-pensionnaires]]/HébergementLycée[[#This Row],[Total]]</f>
        <v>0.58064516129032262</v>
      </c>
    </row>
    <row r="14" spans="1:15" s="48" customFormat="1" ht="15" customHeight="1" x14ac:dyDescent="0.2">
      <c r="A14" s="94" t="s">
        <v>48</v>
      </c>
      <c r="B14" s="68" t="s">
        <v>120</v>
      </c>
      <c r="C14" s="69" t="s">
        <v>31</v>
      </c>
      <c r="D14" s="69" t="s">
        <v>119</v>
      </c>
      <c r="E14" s="68" t="s">
        <v>121</v>
      </c>
      <c r="F14" s="95">
        <v>551</v>
      </c>
      <c r="G14" s="95">
        <v>294</v>
      </c>
      <c r="H14" s="95">
        <v>6</v>
      </c>
      <c r="I14" s="95">
        <f>SUM(HébergementLycée[[#This Row],[Effectifs Demi-pensionnaires]:[Effectifs Internes]])</f>
        <v>851</v>
      </c>
      <c r="J14" s="96">
        <f>HébergementLycée[[#This Row],[Effectifs Demi-pensionnaires]]/HébergementLycée[[#This Row],[Total]]</f>
        <v>0.64747356051703875</v>
      </c>
    </row>
    <row r="15" spans="1:15" s="48" customFormat="1" ht="15" customHeight="1" x14ac:dyDescent="0.2">
      <c r="A15" s="94" t="s">
        <v>48</v>
      </c>
      <c r="B15" s="68" t="s">
        <v>122</v>
      </c>
      <c r="C15" s="69" t="s">
        <v>31</v>
      </c>
      <c r="D15" s="69" t="s">
        <v>40</v>
      </c>
      <c r="E15" s="68" t="s">
        <v>40</v>
      </c>
      <c r="F15" s="95">
        <v>61</v>
      </c>
      <c r="G15" s="95">
        <v>2</v>
      </c>
      <c r="H15" s="95">
        <v>56</v>
      </c>
      <c r="I15" s="95">
        <f>SUM(HébergementLycée[[#This Row],[Effectifs Demi-pensionnaires]:[Effectifs Internes]])</f>
        <v>119</v>
      </c>
      <c r="J15" s="96">
        <f>HébergementLycée[[#This Row],[Effectifs Demi-pensionnaires]]/HébergementLycée[[#This Row],[Total]]</f>
        <v>0.51260504201680668</v>
      </c>
    </row>
    <row r="16" spans="1:15" s="48" customFormat="1" ht="15" customHeight="1" x14ac:dyDescent="0.2">
      <c r="A16" s="94" t="s">
        <v>48</v>
      </c>
      <c r="B16" s="68" t="s">
        <v>123</v>
      </c>
      <c r="C16" s="69" t="s">
        <v>32</v>
      </c>
      <c r="D16" s="69" t="s">
        <v>124</v>
      </c>
      <c r="E16" s="68" t="s">
        <v>125</v>
      </c>
      <c r="F16" s="95">
        <v>64</v>
      </c>
      <c r="G16" s="95">
        <v>236</v>
      </c>
      <c r="H16" s="95">
        <v>0</v>
      </c>
      <c r="I16" s="95">
        <f>SUM(HébergementLycée[[#This Row],[Effectifs Demi-pensionnaires]:[Effectifs Internes]])</f>
        <v>300</v>
      </c>
      <c r="J16" s="96">
        <f>HébergementLycée[[#This Row],[Effectifs Demi-pensionnaires]]/HébergementLycée[[#This Row],[Total]]</f>
        <v>0.21333333333333335</v>
      </c>
    </row>
    <row r="17" spans="1:15" s="48" customFormat="1" ht="15" customHeight="1" x14ac:dyDescent="0.2">
      <c r="A17" s="94" t="s">
        <v>79</v>
      </c>
      <c r="B17" s="68" t="s">
        <v>126</v>
      </c>
      <c r="C17" s="69" t="s">
        <v>31</v>
      </c>
      <c r="D17" s="69" t="s">
        <v>42</v>
      </c>
      <c r="E17" s="68" t="s">
        <v>127</v>
      </c>
      <c r="F17" s="95">
        <v>320</v>
      </c>
      <c r="G17" s="95">
        <v>794</v>
      </c>
      <c r="H17" s="95">
        <v>67</v>
      </c>
      <c r="I17" s="95">
        <f>SUM(HébergementLycée[[#This Row],[Effectifs Demi-pensionnaires]:[Effectifs Internes]])</f>
        <v>1181</v>
      </c>
      <c r="J17" s="96">
        <f>HébergementLycée[[#This Row],[Effectifs Demi-pensionnaires]]/HébergementLycée[[#This Row],[Total]]</f>
        <v>0.27095681625740897</v>
      </c>
      <c r="M17" s="62" t="s">
        <v>139</v>
      </c>
      <c r="N17" s="62" t="s">
        <v>140</v>
      </c>
      <c r="O17" s="62" t="s">
        <v>141</v>
      </c>
    </row>
    <row r="18" spans="1:15" s="48" customFormat="1" ht="15" customHeight="1" x14ac:dyDescent="0.2">
      <c r="A18" s="94" t="s">
        <v>79</v>
      </c>
      <c r="B18" s="68" t="s">
        <v>128</v>
      </c>
      <c r="C18" s="69" t="s">
        <v>31</v>
      </c>
      <c r="D18" s="69" t="s">
        <v>41</v>
      </c>
      <c r="E18" s="68" t="s">
        <v>129</v>
      </c>
      <c r="F18" s="95">
        <v>158</v>
      </c>
      <c r="G18" s="95">
        <v>399</v>
      </c>
      <c r="H18" s="95">
        <v>131</v>
      </c>
      <c r="I18" s="95">
        <f>SUM(HébergementLycée[[#This Row],[Effectifs Demi-pensionnaires]:[Effectifs Internes]])</f>
        <v>688</v>
      </c>
      <c r="J18" s="96">
        <f>HébergementLycée[[#This Row],[Effectifs Demi-pensionnaires]]/HébergementLycée[[#This Row],[Total]]</f>
        <v>0.22965116279069767</v>
      </c>
      <c r="L18" s="48" t="s">
        <v>31</v>
      </c>
      <c r="M18" s="60">
        <f>SUMIF(HébergementLycée[Secteur],"Public",HébergementLycée[Effectifs Demi-pensionnaires])</f>
        <v>3344</v>
      </c>
      <c r="N18" s="60">
        <f>SUMIF(HébergementLycée[Secteur],"Public",HébergementLycée[Effectifs Externes])</f>
        <v>4511</v>
      </c>
      <c r="O18" s="60">
        <f>SUMIF(HébergementLycée[Secteur],"Public",HébergementLycée[Effectifs Internes])</f>
        <v>625</v>
      </c>
    </row>
    <row r="19" spans="1:15" s="48" customFormat="1" ht="15" customHeight="1" x14ac:dyDescent="0.2">
      <c r="A19" s="94" t="s">
        <v>79</v>
      </c>
      <c r="B19" s="68" t="s">
        <v>130</v>
      </c>
      <c r="C19" s="69" t="s">
        <v>31</v>
      </c>
      <c r="D19" s="69" t="s">
        <v>42</v>
      </c>
      <c r="E19" s="68" t="s">
        <v>81</v>
      </c>
      <c r="F19" s="95">
        <v>142</v>
      </c>
      <c r="G19" s="95">
        <v>142</v>
      </c>
      <c r="H19" s="95">
        <v>42</v>
      </c>
      <c r="I19" s="95">
        <f>SUM(HébergementLycée[[#This Row],[Effectifs Demi-pensionnaires]:[Effectifs Internes]])</f>
        <v>326</v>
      </c>
      <c r="J19" s="96">
        <f>HébergementLycée[[#This Row],[Effectifs Demi-pensionnaires]]/HébergementLycée[[#This Row],[Total]]</f>
        <v>0.43558282208588955</v>
      </c>
      <c r="L19" s="48" t="s">
        <v>32</v>
      </c>
      <c r="M19" s="60">
        <f>SUMIF(HébergementLycée[Secteur],"Privé",HébergementLycée[Effectifs Demi-pensionnaires])</f>
        <v>95</v>
      </c>
      <c r="N19" s="60">
        <f>SUMIF(HébergementLycée[Secteur],"Privé",HébergementLycée[Effectifs Externes])</f>
        <v>489</v>
      </c>
      <c r="O19" s="60">
        <f>SUMIF(HébergementLycée[Secteur],"Privé",HébergementLycée[Effectifs Internes])</f>
        <v>0</v>
      </c>
    </row>
    <row r="20" spans="1:15" s="48" customFormat="1" ht="15" customHeight="1" x14ac:dyDescent="0.2">
      <c r="A20" s="94" t="s">
        <v>79</v>
      </c>
      <c r="B20" s="68" t="s">
        <v>131</v>
      </c>
      <c r="C20" s="69" t="s">
        <v>32</v>
      </c>
      <c r="D20" s="69" t="s">
        <v>124</v>
      </c>
      <c r="E20" s="68" t="s">
        <v>102</v>
      </c>
      <c r="F20" s="95">
        <v>31</v>
      </c>
      <c r="G20" s="95">
        <v>253</v>
      </c>
      <c r="H20" s="95">
        <v>0</v>
      </c>
      <c r="I20" s="95">
        <f>SUM(HébergementLycée[[#This Row],[Effectifs Demi-pensionnaires]:[Effectifs Internes]])</f>
        <v>284</v>
      </c>
      <c r="J20" s="96">
        <f>HébergementLycée[[#This Row],[Effectifs Demi-pensionnaires]]/HébergementLycée[[#This Row],[Total]]</f>
        <v>0.10915492957746478</v>
      </c>
      <c r="M20" s="60">
        <f>SUM(M18:M19)</f>
        <v>3439</v>
      </c>
      <c r="N20" s="60">
        <f>SUM(N18:N19)</f>
        <v>5000</v>
      </c>
      <c r="O20" s="60">
        <f>SUM(O18:O19)</f>
        <v>625</v>
      </c>
    </row>
    <row r="21" spans="1:15" s="48" customFormat="1" ht="15" customHeight="1" x14ac:dyDescent="0.2">
      <c r="A21" s="94" t="s">
        <v>79</v>
      </c>
      <c r="B21" s="68" t="s">
        <v>132</v>
      </c>
      <c r="C21" s="69" t="s">
        <v>31</v>
      </c>
      <c r="D21" s="69" t="s">
        <v>41</v>
      </c>
      <c r="E21" s="68" t="s">
        <v>62</v>
      </c>
      <c r="F21" s="95">
        <v>105</v>
      </c>
      <c r="G21" s="95">
        <v>167</v>
      </c>
      <c r="H21" s="95">
        <v>84</v>
      </c>
      <c r="I21" s="95">
        <f>SUM(HébergementLycée[[#This Row],[Effectifs Demi-pensionnaires]:[Effectifs Internes]])</f>
        <v>356</v>
      </c>
      <c r="J21" s="96">
        <f>HébergementLycée[[#This Row],[Effectifs Demi-pensionnaires]]/HébergementLycée[[#This Row],[Total]]</f>
        <v>0.2949438202247191</v>
      </c>
    </row>
    <row r="22" spans="1:15" s="48" customFormat="1" ht="15" customHeight="1" x14ac:dyDescent="0.2">
      <c r="A22" s="94" t="s">
        <v>79</v>
      </c>
      <c r="B22" s="68" t="s">
        <v>133</v>
      </c>
      <c r="C22" s="69" t="s">
        <v>31</v>
      </c>
      <c r="D22" s="69" t="s">
        <v>119</v>
      </c>
      <c r="E22" s="68" t="s">
        <v>134</v>
      </c>
      <c r="F22" s="95">
        <v>303</v>
      </c>
      <c r="G22" s="95">
        <v>127</v>
      </c>
      <c r="H22" s="95">
        <v>14</v>
      </c>
      <c r="I22" s="95">
        <f>SUM(HébergementLycée[[#This Row],[Effectifs Demi-pensionnaires]:[Effectifs Internes]])</f>
        <v>444</v>
      </c>
      <c r="J22" s="96">
        <f>HébergementLycée[[#This Row],[Effectifs Demi-pensionnaires]]/HébergementLycée[[#This Row],[Total]]</f>
        <v>0.68243243243243246</v>
      </c>
    </row>
    <row r="23" spans="1:15" s="48" customFormat="1" ht="15" customHeight="1" x14ac:dyDescent="0.2">
      <c r="A23" s="94" t="s">
        <v>79</v>
      </c>
      <c r="B23" s="68" t="s">
        <v>135</v>
      </c>
      <c r="C23" s="69" t="s">
        <v>31</v>
      </c>
      <c r="D23" s="69" t="s">
        <v>42</v>
      </c>
      <c r="E23" s="68" t="s">
        <v>136</v>
      </c>
      <c r="F23" s="95">
        <v>349</v>
      </c>
      <c r="G23" s="95">
        <v>736</v>
      </c>
      <c r="H23" s="95">
        <v>41</v>
      </c>
      <c r="I23" s="95">
        <f>SUM(HébergementLycée[[#This Row],[Effectifs Demi-pensionnaires]:[Effectifs Internes]])</f>
        <v>1126</v>
      </c>
      <c r="J23" s="96">
        <f>HébergementLycée[[#This Row],[Effectifs Demi-pensionnaires]]/HébergementLycée[[#This Row],[Total]]</f>
        <v>0.3099467140319716</v>
      </c>
    </row>
    <row r="24" spans="1:15" s="48" customFormat="1" ht="15" customHeight="1" x14ac:dyDescent="0.2">
      <c r="A24" s="94" t="s">
        <v>79</v>
      </c>
      <c r="B24" s="68" t="s">
        <v>137</v>
      </c>
      <c r="C24" s="69" t="s">
        <v>31</v>
      </c>
      <c r="D24" s="69" t="s">
        <v>119</v>
      </c>
      <c r="E24" s="68" t="s">
        <v>138</v>
      </c>
      <c r="F24" s="95">
        <v>296</v>
      </c>
      <c r="G24" s="95">
        <v>93</v>
      </c>
      <c r="H24" s="95">
        <v>0</v>
      </c>
      <c r="I24" s="95">
        <f>SUM(HébergementLycée[[#This Row],[Effectifs Demi-pensionnaires]:[Effectifs Internes]])</f>
        <v>389</v>
      </c>
      <c r="J24" s="96">
        <f>HébergementLycée[[#This Row],[Effectifs Demi-pensionnaires]]/HébergementLycée[[#This Row],[Total]]</f>
        <v>0.76092544987146526</v>
      </c>
    </row>
    <row r="25" spans="1:15" s="48" customFormat="1" ht="11.25" x14ac:dyDescent="0.2">
      <c r="A25" s="57" t="s">
        <v>43</v>
      </c>
      <c r="B25" s="57"/>
      <c r="C25" s="58"/>
      <c r="D25" s="58"/>
      <c r="E25" s="57"/>
      <c r="F25" s="59">
        <f>SUBTOTAL(109,HébergementLycée[Effectifs Demi-pensionnaires])</f>
        <v>3439</v>
      </c>
      <c r="G25" s="59">
        <f>SUBTOTAL(109,HébergementLycée[Effectifs Externes])</f>
        <v>5000</v>
      </c>
      <c r="H25" s="59">
        <f>SUBTOTAL(109,HébergementLycée[Effectifs Internes])</f>
        <v>625</v>
      </c>
      <c r="I25" s="59">
        <f>SUBTOTAL(109,HébergementLycée[Total])</f>
        <v>9064</v>
      </c>
      <c r="J25" s="126">
        <f>HébergementLycée[[#Totals],[Effectifs Demi-pensionnaires]]/HébergementLycée[[#Totals],[Total]]</f>
        <v>0.37941306266548985</v>
      </c>
    </row>
    <row r="26" spans="1:15" s="48" customFormat="1" ht="11.25" x14ac:dyDescent="0.2">
      <c r="A26" s="48" t="s">
        <v>148</v>
      </c>
      <c r="F26" s="78">
        <f>HébergementLycée[[#Totals],[Effectifs Demi-pensionnaires]]/HébergementLycée[[#Totals],[Total]]</f>
        <v>0.37941306266548985</v>
      </c>
      <c r="G26" s="78">
        <f>HébergementLycée[[#Totals],[Effectifs Externes]]/HébergementLycée[[#Totals],[Total]]</f>
        <v>0.55163283318623124</v>
      </c>
      <c r="H26" s="78">
        <f>HébergementLycée[[#Totals],[Effectifs Internes]]/HébergementLycée[[#Totals],[Total]]</f>
        <v>6.8954104148278905E-2</v>
      </c>
    </row>
    <row r="27" spans="1:15" s="48" customFormat="1" ht="11.25" x14ac:dyDescent="0.2">
      <c r="F27" s="60"/>
      <c r="G27" s="60"/>
      <c r="H27" s="60"/>
      <c r="I27" s="60"/>
    </row>
    <row r="28" spans="1:15" s="48" customFormat="1" ht="11.25" x14ac:dyDescent="0.2">
      <c r="A28" s="102" t="s">
        <v>153</v>
      </c>
      <c r="F28" s="105">
        <f>+HébergementLycée[[#Totals],[Effectifs Demi-pensionnaires]]-F16-F20</f>
        <v>3344</v>
      </c>
      <c r="G28" s="105">
        <f>+HébergementLycée[[#Totals],[Effectifs Externes]]-G16-G20</f>
        <v>4511</v>
      </c>
      <c r="H28" s="105">
        <f>+HébergementLycée[[#Totals],[Effectifs Internes]]-H16-H20</f>
        <v>625</v>
      </c>
      <c r="I28" s="105">
        <f>+HébergementLycée[[#Totals],[Total]]-I16-I20</f>
        <v>8480</v>
      </c>
      <c r="J28" s="127">
        <f>+F28/I28</f>
        <v>0.39433962264150946</v>
      </c>
    </row>
    <row r="29" spans="1:15" s="48" customFormat="1" ht="11.25" x14ac:dyDescent="0.2">
      <c r="A29" s="77" t="s">
        <v>148</v>
      </c>
      <c r="F29" s="106">
        <f>+F28/I28</f>
        <v>0.39433962264150946</v>
      </c>
      <c r="G29" s="106">
        <f>+G28/I28</f>
        <v>0.53195754716981136</v>
      </c>
      <c r="H29" s="106">
        <f>+H28/I28</f>
        <v>7.370283018867925E-2</v>
      </c>
      <c r="I29" s="60"/>
    </row>
    <row r="30" spans="1:15" s="48" customFormat="1" ht="11.25" x14ac:dyDescent="0.2">
      <c r="F30" s="60"/>
      <c r="G30" s="60"/>
      <c r="H30" s="60"/>
      <c r="I30" s="60"/>
    </row>
    <row r="31" spans="1:15" s="48" customFormat="1" ht="11.25" x14ac:dyDescent="0.2">
      <c r="F31" s="60"/>
      <c r="G31" s="60"/>
      <c r="H31" s="60"/>
      <c r="I31" s="60"/>
    </row>
    <row r="32" spans="1:15" s="48" customFormat="1" ht="11.25" x14ac:dyDescent="0.2">
      <c r="A32" s="48" t="s">
        <v>142</v>
      </c>
    </row>
    <row r="33" spans="1:11" s="48" customFormat="1" ht="12" x14ac:dyDescent="0.2">
      <c r="A33" s="128" t="s">
        <v>161</v>
      </c>
    </row>
    <row r="34" spans="1:11" s="48" customFormat="1" ht="11.25" x14ac:dyDescent="0.2">
      <c r="A34" s="48" t="s">
        <v>144</v>
      </c>
    </row>
    <row r="35" spans="1:11" s="48" customFormat="1" ht="11.25" x14ac:dyDescent="0.2">
      <c r="A35" s="48" t="s">
        <v>145</v>
      </c>
    </row>
    <row r="36" spans="1:11" s="48" customFormat="1" ht="11.25" x14ac:dyDescent="0.2">
      <c r="A36" s="48" t="s">
        <v>146</v>
      </c>
    </row>
    <row r="37" spans="1:11" s="48" customFormat="1" ht="11.25" x14ac:dyDescent="0.2"/>
    <row r="38" spans="1:11" s="48" customFormat="1" ht="11.25" x14ac:dyDescent="0.2"/>
    <row r="39" spans="1:11" s="48" customFormat="1" ht="11.25" x14ac:dyDescent="0.2">
      <c r="A39" s="102"/>
    </row>
    <row r="40" spans="1:11" s="48" customFormat="1" ht="11.25" x14ac:dyDescent="0.2">
      <c r="A40" s="77"/>
    </row>
    <row r="41" spans="1:11" s="48" customFormat="1" ht="11.25" x14ac:dyDescent="0.2"/>
    <row r="42" spans="1:11" s="48" customFormat="1" ht="11.25" x14ac:dyDescent="0.2"/>
    <row r="43" spans="1:11" s="48" customFormat="1" ht="11.25" x14ac:dyDescent="0.2"/>
    <row r="44" spans="1:11" s="48" customFormat="1" ht="11.25" x14ac:dyDescent="0.2"/>
    <row r="45" spans="1:11" s="48" customFormat="1" ht="11.25" x14ac:dyDescent="0.2"/>
    <row r="46" spans="1:11" s="48" customFormat="1" ht="11.25" x14ac:dyDescent="0.2"/>
    <row r="47" spans="1:11" s="48" customFormat="1" ht="11.25" x14ac:dyDescent="0.2"/>
    <row r="48" spans="1:11" x14ac:dyDescent="0.2">
      <c r="F48" s="48"/>
      <c r="G48" s="48"/>
      <c r="H48" s="48"/>
      <c r="I48" s="48"/>
      <c r="J48" s="48"/>
      <c r="K48" s="48"/>
    </row>
    <row r="49" spans="6:11" x14ac:dyDescent="0.2">
      <c r="F49" s="48"/>
      <c r="G49" s="48"/>
      <c r="H49" s="48"/>
      <c r="I49" s="48"/>
      <c r="J49" s="48"/>
      <c r="K49" s="48"/>
    </row>
    <row r="50" spans="6:11" x14ac:dyDescent="0.2">
      <c r="F50" s="48"/>
      <c r="G50" s="48"/>
      <c r="H50" s="48"/>
      <c r="I50" s="48"/>
    </row>
  </sheetData>
  <conditionalFormatting sqref="J9:J24">
    <cfRule type="top10" dxfId="26" priority="1" bottom="1" rank="1"/>
    <cfRule type="aboveAverage" dxfId="25" priority="2" aboveAverage="0"/>
    <cfRule type="top10" dxfId="24" priority="3" bottom="1" rank="1"/>
    <cfRule type="top10" dxfId="23" priority="4" rank="1"/>
  </conditionalFormatting>
  <pageMargins left="0.78740157480314965" right="0.78740157480314965" top="0.98425196850393704" bottom="0.98425196850393704" header="0.51181102362204722" footer="0.51181102362204722"/>
  <pageSetup paperSize="9" scale="46" orientation="portrait" r:id="rId1"/>
  <headerFooter alignWithMargins="0">
    <oddHeader xml:space="preserve">&amp;LL'académie de Corse en chiffres
Edition 2020
</oddHeader>
    <oddFooter>&amp;CRectorat de Corse
Division de la Prospective et des Statistiques Académiques&amp;R&amp;P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s q m i d = " c 1 c 6 9 9 e 6 - 1 f f 9 - 4 8 2 7 - a e 7 2 - b 7 4 8 b 2 5 1 4 0 6 3 "   x m l n s = " h t t p : / / s c h e m a s . m i c r o s o f t . c o m / D a t a M a s h u p " > A A A A A B g D A A B Q S w M E F A A C A A g A K W U 8 V Z U l u a e o A A A A + Q A A A B I A H A B D b 2 5 m a W c v U G F j a 2 F n Z S 5 4 b W w g o h g A K K A U A A A A A A A A A A A A A A A A A A A A A A A A A A A A h c 8 x D o I w G A X g q 5 D u t L U a I + S n D C Z O k h h N j G t T C j R C M b R Y 7 u b g k b y C J I q 6 O b 6 X b 3 j v c b t D O j R 1 c F W d 1 a 1 J 0 A x T F C g j 2 1 y b M k G 9 K 8 I V S j n s h D y L U g U j N j Y e b J 6 g y r l L T I j 3 H v s 5 b r u S M E p n 5 J R t D 7 J S j U A f r P / j U B v r h J E K c T i + x n C G o w V e M h Z h O l o g U w + Z N l / D x s m Y A v k p Y d 3 X r u 8 U L 7 p w s w c y R S D v G / w J U E s D B B Q A A g A I A C l l P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Z T x V K I p H u A 4 A A A A R A A A A E w A c A E Z v c m 1 1 b G F z L 1 N l Y 3 R p b 2 4 x L m 0 g o h g A K K A U A A A A A A A A A A A A A A A A A A A A A A A A A A A A K 0 5 N L s n M z 1 M I h t C G 1 g B Q S w E C L Q A U A A I A C A A p Z T x V l S W 5 p 6 g A A A D 5 A A A A E g A A A A A A A A A A A A A A A A A A A A A A Q 2 9 u Z m l n L 1 B h Y 2 t h Z 2 U u e G 1 s U E s B A i 0 A F A A C A A g A K W U 8 V Q / K 6 a u k A A A A 6 Q A A A B M A A A A A A A A A A A A A A A A A 9 A A A A F t D b 2 5 0 Z W 5 0 X 1 R 5 c G V z X S 5 4 b W x Q S w E C L Q A U A A I A C A A p Z T x V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g M B 1 I 4 N A 0 u C s Y E x K Q u z m Q A A A A A C A A A A A A A D Z g A A w A A A A B A A A A C 4 b l p p s 2 n n Y H f 6 H H U r m k p 1 A A A A A A S A A A C g A A A A E A A A A H F f b D B J 1 Q Y 1 Y / 8 5 I 9 y s 3 E d Q A A A A e P Z a O r t 2 W + X A 7 c 2 F + M u L Y Q B x c 6 S K u 1 E 1 v e 6 Y 2 c N C 9 U u / E L 2 E N P g d y E c s M H F p h 9 d h c y c v K z k X N U T u 3 o U l p P H m m Z 4 t C b D F f o K b B l R c j s Y y N o k U A A A A + W G f B F 9 5 5 p q A 9 P 8 s 5 H u v L P o H p h E = < / D a t a M a s h u p > 
</file>

<file path=customXml/item2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8B1CF49-0A2E-4F40-BE2F-CFB66C86EB3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E6075BA-1A90-42EA-A370-DD1A247498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2.04 Notice</vt:lpstr>
      <vt:lpstr>2.04 Graph 1</vt:lpstr>
      <vt:lpstr>2.04 Tableau 2</vt:lpstr>
      <vt:lpstr>2.04 Tableau 3</vt:lpstr>
      <vt:lpstr>2.04 Tableau 4</vt:lpstr>
      <vt:lpstr>2.04 Tableau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2025-11-13T14:00:15Z</cp:lastPrinted>
  <dcterms:created xsi:type="dcterms:W3CDTF">2022-06-08T12:40:59Z</dcterms:created>
  <dcterms:modified xsi:type="dcterms:W3CDTF">2025-11-13T14:00:23Z</dcterms:modified>
</cp:coreProperties>
</file>