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24226"/>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F8C0F079-4D57-4613-9045-38FD26A0F364}" xr6:coauthVersionLast="36" xr6:coauthVersionMax="36" xr10:uidLastSave="{00000000-0000-0000-0000-000000000000}"/>
  <bookViews>
    <workbookView xWindow="0" yWindow="0" windowWidth="28800" windowHeight="9675" xr2:uid="{00000000-000D-0000-FFFF-FFFF00000000}"/>
  </bookViews>
  <sheets>
    <sheet name="8.03 Notice" sheetId="11" r:id="rId1"/>
    <sheet name="8.03 Graphique 1" sheetId="10" r:id="rId2"/>
    <sheet name="8.03 Tableau 2" sheetId="1" r:id="rId3"/>
  </sheets>
  <calcPr calcId="191029"/>
</workbook>
</file>

<file path=xl/calcChain.xml><?xml version="1.0" encoding="utf-8"?>
<calcChain xmlns="http://schemas.openxmlformats.org/spreadsheetml/2006/main">
  <c r="M19" i="10" l="1"/>
  <c r="B17" i="1"/>
  <c r="G37" i="1"/>
  <c r="J43" i="1"/>
  <c r="F37" i="1"/>
  <c r="H37" i="1" s="1"/>
  <c r="J24" i="1"/>
  <c r="J23" i="1"/>
  <c r="I23" i="1"/>
  <c r="J11" i="1"/>
  <c r="J22" i="1"/>
  <c r="J15" i="1"/>
  <c r="J8" i="1"/>
  <c r="I8" i="1"/>
  <c r="H8" i="1"/>
  <c r="G8" i="1"/>
  <c r="B8" i="1"/>
  <c r="C8" i="1"/>
  <c r="C23" i="1" s="1"/>
  <c r="D8" i="1"/>
  <c r="E8" i="1"/>
  <c r="G22" i="1"/>
  <c r="H22" i="1"/>
  <c r="B22" i="1"/>
  <c r="G21" i="1"/>
  <c r="H21" i="1"/>
  <c r="J20" i="1"/>
  <c r="H20" i="1"/>
  <c r="G20" i="1"/>
  <c r="F8" i="1" l="1"/>
  <c r="J19" i="1" l="1"/>
  <c r="G19" i="1"/>
  <c r="H19" i="1"/>
  <c r="J18" i="1"/>
  <c r="H18" i="1"/>
  <c r="G18" i="1"/>
  <c r="J17" i="1"/>
  <c r="G16" i="1"/>
  <c r="H15" i="1"/>
  <c r="G15" i="1"/>
  <c r="B15" i="1"/>
  <c r="B23" i="1" s="1"/>
  <c r="H10" i="1"/>
  <c r="G10" i="1"/>
  <c r="H9" i="1"/>
  <c r="G9" i="1"/>
  <c r="J9" i="1"/>
  <c r="J7" i="1"/>
  <c r="H7" i="1"/>
  <c r="G7" i="1"/>
  <c r="H13" i="1"/>
  <c r="G13" i="1"/>
  <c r="J12" i="1"/>
  <c r="H12" i="1"/>
  <c r="G12" i="1"/>
  <c r="A3" i="1" l="1"/>
  <c r="A3" i="10"/>
  <c r="J47" i="1" l="1"/>
  <c r="I45" i="1"/>
  <c r="F46" i="1"/>
  <c r="C36" i="1"/>
  <c r="C45" i="1"/>
  <c r="F19" i="1"/>
  <c r="F32" i="1"/>
  <c r="F42" i="1"/>
  <c r="H42" i="1" s="1"/>
  <c r="F26" i="1"/>
  <c r="F28" i="1"/>
  <c r="F39" i="1"/>
  <c r="F30" i="1"/>
  <c r="F31" i="1"/>
  <c r="F44" i="1"/>
  <c r="G44" i="1" s="1"/>
  <c r="F43" i="1"/>
  <c r="G43" i="1" s="1"/>
  <c r="I36" i="1"/>
  <c r="F25" i="1"/>
  <c r="G25" i="1" s="1"/>
  <c r="F35" i="1"/>
  <c r="G35" i="1" s="1"/>
  <c r="F33" i="1"/>
  <c r="F29" i="1"/>
  <c r="H29" i="1" s="1"/>
  <c r="H28" i="1" l="1"/>
  <c r="G28" i="1"/>
  <c r="G39" i="1"/>
  <c r="H39" i="1"/>
  <c r="G32" i="1"/>
  <c r="H32" i="1"/>
  <c r="H26" i="1"/>
  <c r="G26" i="1"/>
  <c r="H33" i="1"/>
  <c r="G33" i="1"/>
  <c r="H31" i="1"/>
  <c r="G31" i="1"/>
  <c r="G46" i="1"/>
  <c r="H46" i="1"/>
  <c r="H35" i="1"/>
  <c r="H43" i="1"/>
  <c r="H44" i="1"/>
  <c r="H30" i="1"/>
  <c r="I47" i="1"/>
  <c r="C47" i="1"/>
  <c r="F24" i="1"/>
  <c r="E23" i="1"/>
  <c r="D23" i="1"/>
  <c r="G24" i="1" l="1"/>
  <c r="H24" i="1"/>
  <c r="F36" i="1"/>
  <c r="H36" i="1"/>
  <c r="G36" i="1"/>
  <c r="H11" i="1"/>
  <c r="G11" i="1"/>
  <c r="F10" i="1"/>
  <c r="F9" i="1"/>
  <c r="F11" i="1"/>
  <c r="F12" i="1"/>
  <c r="F13" i="1"/>
  <c r="F14" i="1"/>
  <c r="F15" i="1"/>
  <c r="F16" i="1"/>
  <c r="F17" i="1"/>
  <c r="F18" i="1"/>
  <c r="F20" i="1"/>
  <c r="F21" i="1"/>
  <c r="F22" i="1"/>
  <c r="F7" i="1"/>
  <c r="D45" i="1"/>
  <c r="E45" i="1"/>
  <c r="F45" i="1"/>
  <c r="B45" i="1"/>
  <c r="D36" i="1"/>
  <c r="E36" i="1"/>
  <c r="B36" i="1"/>
  <c r="H17" i="1" l="1"/>
  <c r="G17" i="1"/>
  <c r="H45" i="1"/>
  <c r="G45" i="1"/>
  <c r="F23" i="1"/>
  <c r="B47" i="1"/>
  <c r="E47" i="1"/>
  <c r="D47" i="1"/>
  <c r="G23" i="1" l="1"/>
  <c r="H23" i="1"/>
  <c r="F47" i="1"/>
  <c r="H47" i="1" l="1"/>
  <c r="G47" i="1"/>
</calcChain>
</file>

<file path=xl/sharedStrings.xml><?xml version="1.0" encoding="utf-8"?>
<sst xmlns="http://schemas.openxmlformats.org/spreadsheetml/2006/main" count="92" uniqueCount="88">
  <si>
    <t>Arts plastiques</t>
  </si>
  <si>
    <t>Lettres</t>
  </si>
  <si>
    <t>Philosophie</t>
  </si>
  <si>
    <t>Physique-chimie</t>
  </si>
  <si>
    <t>Technologie</t>
  </si>
  <si>
    <t>Industries graphiques</t>
  </si>
  <si>
    <t>Ensemble</t>
  </si>
  <si>
    <t>Secteur public</t>
  </si>
  <si>
    <t>Part des femmes (%)</t>
  </si>
  <si>
    <t>Part des non-titulaires (%)</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</si>
  <si>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</si>
  <si>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</si>
  <si>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</si>
  <si>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</si>
  <si>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</si>
  <si>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</si>
  <si>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</si>
  <si>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</si>
  <si>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</si>
  <si>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</si>
  <si>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</si>
  <si>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</si>
  <si>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</si>
  <si>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</si>
  <si>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</si>
  <si>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Métiers des arts appliqués</t>
  </si>
  <si>
    <t>Génie mécanique</t>
  </si>
  <si>
    <t>Génie électrique</t>
  </si>
  <si>
    <t>Informatique, télématique</t>
  </si>
  <si>
    <t>Paramédical et social, soins personnels</t>
  </si>
  <si>
    <t>Biotech.-santé-environnement-génie biologique</t>
  </si>
  <si>
    <t xml:space="preserve">Biotech.-génie biologique et biochimie </t>
  </si>
  <si>
    <t>Total</t>
  </si>
  <si>
    <t>Total disciplines générales</t>
  </si>
  <si>
    <t>Économie et gestion</t>
  </si>
  <si>
    <t>Éducation musicale</t>
  </si>
  <si>
    <t>Éducation physique et sportive</t>
  </si>
  <si>
    <t>Autres</t>
  </si>
  <si>
    <t>Formations en collège y compris Segpa</t>
  </si>
  <si>
    <t>Formations professionnelles en lycée</t>
  </si>
  <si>
    <t>Formations générales et technologiques en lycée</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</si>
  <si>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</si>
  <si>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</si>
  <si>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</si>
  <si>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</si>
  <si>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Mathématiques</t>
  </si>
  <si>
    <t>Année</t>
  </si>
  <si>
    <t>Total domaine de la production et des services</t>
  </si>
  <si>
    <t>Champ</t>
  </si>
  <si>
    <t>Secteur privé sous contrat</t>
  </si>
  <si>
    <t>Total privé sous contrat</t>
  </si>
  <si>
    <r>
      <rPr>
        <b/>
        <sz val="8"/>
        <rFont val="Arial"/>
        <family val="2"/>
      </rPr>
      <t>1.</t>
    </r>
    <r>
      <rPr>
        <sz val="8"/>
        <rFont val="Arial"/>
        <family val="2"/>
      </rPr>
      <t xml:space="preserve"> Uniquement les enseignants chargés d'élèves à l'année. Ces enseignants sont un peu plus nombreux que les "enseignants sur classes attitrées" des fiches précédentes. Par exemple, certains remplaçants peuvent être affectés en partie dès la rentrée pour assurer les cours face à élèves. Les enseignants sont comptabilisés au prorata de leur enseignement dans chaque niveau de formation.</t>
    </r>
  </si>
  <si>
    <r>
      <t xml:space="preserve">1. </t>
    </r>
    <r>
      <rPr>
        <sz val="8"/>
        <rFont val="Arial"/>
        <family val="2"/>
      </rPr>
      <t>Uniquement les enseignants chargés d'élèves à l'année. Ces enseignants sont un peu plus nombreux que les "enseignants sur classes attitrées" des fiches précédentes. Par exemple, certains remplaçants peuvent être affectés en partie dès la rentrée pour assurer les cours face à élèves.</t>
    </r>
  </si>
  <si>
    <t xml:space="preserve">               dont : lettres modernes</t>
  </si>
  <si>
    <t xml:space="preserve">                         lettres classiques</t>
  </si>
  <si>
    <t xml:space="preserve">               dont : anglais</t>
  </si>
  <si>
    <t xml:space="preserve">                         espagnol</t>
  </si>
  <si>
    <t xml:space="preserve">                         allemand</t>
  </si>
  <si>
    <t>Sommaire</t>
  </si>
  <si>
    <t>Précisions</t>
  </si>
  <si>
    <t>La répartition des effectifs par niveau de formation est légèrement différente de celle du RERS de l’an dernier en raison d'un changement de méthodologie.</t>
  </si>
  <si>
    <t>L’enseignement non spécialisé englobe les disciplines généralistes dispensées principalement en Segpa, UPE2A, etc., et les enseignements du braille et du langage des signes.</t>
  </si>
  <si>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</si>
  <si>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</si>
  <si>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</si>
  <si>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</si>
  <si>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</si>
  <si>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</si>
  <si>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</si>
  <si>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</si>
  <si>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la part des enseignants non-titulaires dans le secteur public pour certains groupes de discipline </t>
  </si>
  <si>
    <t>Sciences de la vie et de la terre</t>
  </si>
  <si>
    <t>Corse</t>
  </si>
  <si>
    <t>► Champ :Région Corse secteur public</t>
  </si>
  <si>
    <t>Source : DEPP / BSA</t>
  </si>
  <si>
    <t>► Champ : Région Corse Public et privé sous contrat.</t>
  </si>
  <si>
    <t>Actualisé le</t>
  </si>
  <si>
    <t>Repères statistiques corses</t>
  </si>
  <si>
    <t>Publication annuelle de la division de la prospective et des statistiques académiques (DPSA) de l'Académie de Corse.</t>
  </si>
  <si>
    <t>https://www.ac-corse.fr/l-academie-en-chiffres-123583</t>
  </si>
  <si>
    <t>8.03 Les enseignants du second degré par discipline</t>
  </si>
  <si>
    <t>RERS 8.03 Les enseignants non titulaires du second degré par discipline</t>
  </si>
  <si>
    <t>RERS 8.03 Les enseignants du second degré par discipline</t>
  </si>
  <si>
    <t>DPSA, RSC 2023</t>
  </si>
  <si>
    <t xml:space="preserve">[2] Les enseignants chargés d'élèves à l'année dans le second degré par groupe de disciplines en 2023-2024 </t>
  </si>
  <si>
    <t>RERS 2023</t>
  </si>
  <si>
    <t>RERS 2023, DEPP</t>
  </si>
  <si>
    <r>
      <t>Regroupement des disciplines</t>
    </r>
    <r>
      <rPr>
        <sz val="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</si>
</sst>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 _€_-;\-* #,##0.00\ _€_-;_-* &quot;-&quot;??\ _€_-;_-@_-"/>
    <numFmt numFmtId="164" formatCode="0.0"/>
    <numFmt numFmtId="165" formatCode="_-* #,##0\ _€_-;\-* #,##0\ _€_-;_-* &quot;-&quot;??\ _€_-;_-@_-"/>
    <numFmt numFmtId="166" formatCode="#,##0.0"/>
    <numFmt numFmtId="167" formatCode="#,##0.0_ ;\-#,##0.0\ "/>
    <numFmt numFmtId="168" formatCode="_-* #,##0.0\ _€_-;\-* #,##0.0\ _€_-;_-* &quot;-&quot;?\ _€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F800]dddd\,\ mmmm\ dd\,\ yyyy"/>
  </numFmts>
  <fonts count="50" x14ac:knownFonts="1">
    <font>
      <sz val="10"/>
      <name val="Arial"/>
    </font>
    <font>
      <sz val="10"/>
      <name val="Arial"/>
      <family val="2"/>
    </font>
    <font>
      <sz val="8"/>
      <name val="Arial"/>
      <family val="2"/>
    </font>
    <font>
      <b/>
      <sz val="9"/>
      <name val="Arial"/>
      <family val="2"/>
    </font>
    <font>
      <b/>
      <sz val="8"/>
      <color indexed="12"/>
      <name val="Arial"/>
      <family val="2"/>
    </font>
    <font>
      <sz val="10"/>
      <name val="MS Sans Serif"/>
      <family val="2"/>
    </font>
    <font>
      <b/>
      <sz val="11"/>
      <name val="Arial"/>
      <family val="2"/>
    </font>
    <font>
      <b/>
      <sz val="8"/>
      <name val="Arial"/>
      <family val="2"/>
    </font>
    <font>
      <u/>
      <sz val="10"/>
      <color indexed="12"/>
      <name val="Arial"/>
      <family val="2"/>
    </font>
    <font>
      <i/>
      <sz val="10"/>
      <name val="Arial"/>
      <family val="2"/>
    </font>
    <font>
      <b/>
      <sz val="10"/>
      <name val="Arial"/>
      <family val="2"/>
    </font>
    <font>
      <sz val="8"/>
      <color indexed="8"/>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sz val="6"/>
      <name val="Arial"/>
      <family val="2"/>
    </font>
    <font>
      <b/>
      <sz val="15"/>
      <color theme="3"/>
      <name val="Calibri"/>
      <family val="2"/>
      <scheme val="minor"/>
    </font>
    <font>
      <b/>
      <sz val="13"/>
      <color theme="3"/>
      <name val="Arial"/>
      <family val="2"/>
    </font>
    <font>
      <b/>
      <sz val="11"/>
      <color theme="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F2F2F2"/>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thin">
        <color rgb="FF7F7F7F"/>
      </left>
      <right style="thin">
        <color rgb="FF7F7F7F"/>
      </right>
      <top style="thin">
        <color rgb="FF7F7F7F"/>
      </top>
      <bottom style="thin">
        <color rgb="FF7F7F7F"/>
      </bottom>
      <diagonal/>
    </border>
    <border>
      <left style="thin">
        <color indexed="9"/>
      </left>
      <right style="thin">
        <color theme="0"/>
      </right>
      <top/>
      <bottom/>
      <diagonal/>
    </border>
    <border>
      <left style="thin">
        <color indexed="9"/>
      </left>
      <right style="thin">
        <color theme="0"/>
      </right>
      <top/>
      <bottom style="thin">
        <color theme="0"/>
      </bottom>
      <diagonal/>
    </border>
    <border>
      <left/>
      <right/>
      <top/>
      <bottom style="thick">
        <color theme="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9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44" fillId="25" borderId="21" applyNumberFormat="0" applyAlignment="0" applyProtection="0"/>
    <xf numFmtId="0" fontId="19" fillId="17" borderId="2" applyNumberFormat="0" applyAlignment="0" applyProtection="0"/>
    <xf numFmtId="0" fontId="2"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1" fillId="20" borderId="0">
      <alignment horizontal="center" wrapText="1"/>
    </xf>
    <xf numFmtId="0" fontId="4" fillId="19" borderId="0">
      <alignment horizontal="center"/>
    </xf>
    <xf numFmtId="169"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0"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8" fillId="0" borderId="0" applyNumberFormat="0" applyFill="0" applyBorder="0" applyAlignment="0" applyProtection="0">
      <alignment vertical="top"/>
      <protection locked="0"/>
    </xf>
    <xf numFmtId="0" fontId="45"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35" fillId="23" borderId="0" applyNumberFormat="0" applyBorder="0" applyAlignment="0" applyProtection="0"/>
    <xf numFmtId="0" fontId="36" fillId="0" borderId="0"/>
    <xf numFmtId="0" fontId="43" fillId="0" borderId="0"/>
    <xf numFmtId="0" fontId="43" fillId="0" borderId="0"/>
    <xf numFmtId="0" fontId="43" fillId="0" borderId="0"/>
    <xf numFmtId="0" fontId="43" fillId="0" borderId="0"/>
    <xf numFmtId="0" fontId="16" fillId="0" borderId="0"/>
    <xf numFmtId="0" fontId="1" fillId="0" borderId="0"/>
    <xf numFmtId="0" fontId="1" fillId="0" borderId="0"/>
    <xf numFmtId="0" fontId="16" fillId="0" borderId="0"/>
    <xf numFmtId="0" fontId="13" fillId="0" borderId="0"/>
    <xf numFmtId="0" fontId="5" fillId="0" borderId="0"/>
    <xf numFmtId="0" fontId="5" fillId="0" borderId="0"/>
    <xf numFmtId="0" fontId="1" fillId="0" borderId="0"/>
    <xf numFmtId="0" fontId="5" fillId="0" borderId="0"/>
    <xf numFmtId="0" fontId="5"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4" fillId="0" borderId="0" applyNumberFormat="0" applyFill="0" applyBorder="0" applyAlignment="0" applyProtection="0"/>
    <xf numFmtId="0" fontId="7" fillId="19" borderId="0"/>
    <xf numFmtId="0" fontId="42" fillId="0" borderId="0" applyNumberFormat="0" applyFill="0" applyBorder="0" applyAlignment="0" applyProtection="0"/>
    <xf numFmtId="0" fontId="47" fillId="0" borderId="24" applyNumberFormat="0" applyFill="0" applyAlignment="0" applyProtection="0"/>
    <xf numFmtId="0" fontId="48" fillId="0" borderId="27" applyNumberFormat="0" applyFill="0" applyAlignment="0" applyProtection="0"/>
    <xf numFmtId="0" fontId="49" fillId="0" borderId="28" applyNumberFormat="0" applyFill="0" applyAlignment="0" applyProtection="0"/>
  </cellStyleXfs>
  <cellXfs count="89">
    <xf numFmtId="0" fontId="0" fillId="0" borderId="0" xfId="0"/>
    <xf numFmtId="0" fontId="9" fillId="0" borderId="0" xfId="63" applyFont="1"/>
    <xf numFmtId="0" fontId="1" fillId="0" borderId="0" xfId="63"/>
    <xf numFmtId="0" fontId="1" fillId="0" borderId="0" xfId="63" applyFont="1"/>
    <xf numFmtId="0" fontId="3" fillId="0" borderId="0" xfId="63" applyFont="1" applyAlignment="1">
      <alignment wrapText="1"/>
    </xf>
    <xf numFmtId="0" fontId="2" fillId="0" borderId="0" xfId="63" applyFont="1" applyAlignment="1">
      <alignment wrapText="1"/>
    </xf>
    <xf numFmtId="0" fontId="2" fillId="0" borderId="0" xfId="63" applyFont="1"/>
    <xf numFmtId="173" fontId="9" fillId="0" borderId="0" xfId="59" applyNumberFormat="1" applyFont="1" applyAlignment="1">
      <alignment horizontal="right" wrapText="1"/>
    </xf>
    <xf numFmtId="14" fontId="9" fillId="0" borderId="0" xfId="59" applyNumberFormat="1" applyFont="1" applyAlignment="1">
      <alignment horizontal="right" wrapText="1"/>
    </xf>
    <xf numFmtId="0" fontId="47" fillId="0" borderId="24" xfId="87"/>
    <xf numFmtId="0" fontId="43" fillId="0" borderId="0" xfId="59"/>
    <xf numFmtId="0" fontId="1" fillId="0" borderId="0" xfId="63" applyFont="1" applyAlignment="1">
      <alignment horizontal="left" vertical="center" wrapText="1"/>
    </xf>
    <xf numFmtId="0" fontId="8" fillId="0" borderId="0" xfId="51" applyAlignment="1" applyProtection="1">
      <alignment vertical="center" wrapText="1"/>
    </xf>
    <xf numFmtId="0" fontId="2" fillId="0" borderId="0" xfId="66" applyFont="1" applyAlignment="1">
      <alignment vertical="center"/>
    </xf>
    <xf numFmtId="0" fontId="2" fillId="0" borderId="0" xfId="66" applyFont="1" applyBorder="1" applyAlignment="1">
      <alignment horizontal="center" vertical="center"/>
    </xf>
    <xf numFmtId="0" fontId="2" fillId="0" borderId="0" xfId="66" applyFont="1" applyFill="1" applyBorder="1" applyAlignment="1">
      <alignment horizontal="center" vertical="center"/>
    </xf>
    <xf numFmtId="0" fontId="6" fillId="0" borderId="0" xfId="0" applyFont="1" applyFill="1" applyAlignment="1">
      <alignment vertical="center"/>
    </xf>
    <xf numFmtId="0" fontId="7" fillId="0" borderId="11" xfId="0" applyFont="1" applyFill="1" applyBorder="1" applyAlignment="1">
      <alignment horizontal="right" vertical="center" wrapText="1"/>
    </xf>
    <xf numFmtId="0" fontId="7" fillId="0" borderId="0" xfId="66" applyFont="1" applyFill="1" applyBorder="1" applyAlignment="1">
      <alignment horizontal="center" vertical="center"/>
    </xf>
    <xf numFmtId="1" fontId="2" fillId="0" borderId="0" xfId="70" applyNumberFormat="1" applyFont="1" applyFill="1" applyBorder="1" applyAlignment="1">
      <alignment horizontal="right" vertical="center"/>
    </xf>
    <xf numFmtId="164" fontId="2" fillId="0" borderId="0" xfId="70" applyNumberFormat="1" applyFont="1" applyFill="1" applyBorder="1" applyAlignment="1">
      <alignment horizontal="right" vertical="center"/>
    </xf>
    <xf numFmtId="166" fontId="2" fillId="0" borderId="0" xfId="66" applyNumberFormat="1" applyFont="1" applyFill="1" applyBorder="1" applyAlignment="1">
      <alignment horizontal="center" vertical="center"/>
    </xf>
    <xf numFmtId="0" fontId="46"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xf>
    <xf numFmtId="10" fontId="2" fillId="0" borderId="0" xfId="0" applyNumberFormat="1" applyFont="1" applyFill="1" applyAlignment="1">
      <alignment vertical="center"/>
    </xf>
    <xf numFmtId="0" fontId="2" fillId="0" borderId="0" xfId="70" applyFont="1" applyAlignment="1">
      <alignment vertical="center"/>
    </xf>
    <xf numFmtId="0" fontId="0" fillId="0" borderId="0" xfId="0" applyAlignment="1">
      <alignment vertical="center"/>
    </xf>
    <xf numFmtId="166" fontId="2" fillId="0" borderId="0" xfId="66" applyNumberFormat="1" applyFont="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Alignment="1">
      <alignment vertical="center"/>
    </xf>
    <xf numFmtId="0" fontId="2" fillId="0" borderId="0" xfId="0" applyFont="1" applyFill="1" applyAlignment="1">
      <alignment vertical="center"/>
    </xf>
    <xf numFmtId="0" fontId="7" fillId="0" borderId="16" xfId="69" applyFont="1" applyFill="1" applyBorder="1" applyAlignment="1">
      <alignment horizontal="center" vertical="center" wrapText="1"/>
    </xf>
    <xf numFmtId="0" fontId="7" fillId="0" borderId="20" xfId="69" applyFont="1" applyFill="1" applyBorder="1" applyAlignment="1">
      <alignment horizontal="center" vertical="center" wrapText="1"/>
    </xf>
    <xf numFmtId="0" fontId="7" fillId="0" borderId="18" xfId="69" applyFont="1" applyFill="1" applyBorder="1" applyAlignment="1">
      <alignment horizontal="center" vertical="center" wrapText="1"/>
    </xf>
    <xf numFmtId="0" fontId="7" fillId="0" borderId="19" xfId="69" applyFont="1" applyFill="1" applyBorder="1" applyAlignment="1">
      <alignment horizontal="center" vertical="center" wrapText="1"/>
    </xf>
    <xf numFmtId="0" fontId="7" fillId="0" borderId="0" xfId="69" applyFont="1" applyFill="1" applyBorder="1" applyAlignment="1">
      <alignment horizontal="left" vertical="center" wrapText="1"/>
    </xf>
    <xf numFmtId="0" fontId="2" fillId="0" borderId="16" xfId="69" applyFont="1" applyFill="1" applyBorder="1" applyAlignment="1">
      <alignment vertical="center"/>
    </xf>
    <xf numFmtId="3" fontId="2" fillId="0" borderId="16" xfId="69" applyNumberFormat="1" applyFont="1" applyFill="1" applyBorder="1" applyAlignment="1">
      <alignment horizontal="right" vertical="center"/>
    </xf>
    <xf numFmtId="3" fontId="2" fillId="0" borderId="16" xfId="69" applyNumberFormat="1" applyFont="1" applyFill="1" applyBorder="1" applyAlignment="1">
      <alignment vertical="center"/>
    </xf>
    <xf numFmtId="164" fontId="2" fillId="0" borderId="16" xfId="69" applyNumberFormat="1" applyFont="1" applyFill="1" applyBorder="1" applyAlignment="1">
      <alignment vertical="center"/>
    </xf>
    <xf numFmtId="3" fontId="12" fillId="0" borderId="16" xfId="69" applyNumberFormat="1" applyFont="1" applyFill="1" applyBorder="1" applyAlignment="1">
      <alignment vertical="center"/>
    </xf>
    <xf numFmtId="164" fontId="12" fillId="0" borderId="16" xfId="69" applyNumberFormat="1" applyFont="1" applyFill="1" applyBorder="1" applyAlignment="1">
      <alignment vertical="center"/>
    </xf>
    <xf numFmtId="0" fontId="9" fillId="0" borderId="0" xfId="0" applyFont="1" applyAlignment="1">
      <alignment vertical="center"/>
    </xf>
    <xf numFmtId="0" fontId="2" fillId="0" borderId="0" xfId="69" applyFont="1" applyFill="1" applyBorder="1" applyAlignment="1">
      <alignment horizontal="left" vertical="center" wrapText="1"/>
    </xf>
    <xf numFmtId="3" fontId="2" fillId="0" borderId="17" xfId="69" quotePrefix="1" applyNumberFormat="1" applyFont="1" applyFill="1" applyBorder="1" applyAlignment="1">
      <alignment horizontal="right" vertical="center"/>
    </xf>
    <xf numFmtId="166" fontId="2" fillId="0" borderId="16" xfId="69" applyNumberFormat="1" applyFont="1" applyFill="1" applyBorder="1" applyAlignment="1">
      <alignment horizontal="right" vertical="center"/>
    </xf>
    <xf numFmtId="3" fontId="2" fillId="0" borderId="16" xfId="55" applyNumberFormat="1" applyFont="1" applyFill="1" applyBorder="1" applyAlignment="1">
      <alignment vertical="center"/>
    </xf>
    <xf numFmtId="0" fontId="7" fillId="0" borderId="16" xfId="69" applyFont="1" applyFill="1" applyBorder="1" applyAlignment="1">
      <alignment horizontal="left" vertical="center" wrapText="1"/>
    </xf>
    <xf numFmtId="3" fontId="7" fillId="0" borderId="16" xfId="69" applyNumberFormat="1" applyFont="1" applyFill="1" applyBorder="1" applyAlignment="1">
      <alignment horizontal="right" vertical="center" wrapText="1"/>
    </xf>
    <xf numFmtId="164" fontId="7" fillId="0" borderId="23" xfId="0" applyNumberFormat="1" applyFont="1" applyFill="1" applyBorder="1" applyAlignment="1">
      <alignment horizontal="right" vertical="center"/>
    </xf>
    <xf numFmtId="164" fontId="7" fillId="0" borderId="16" xfId="69" applyNumberFormat="1" applyFont="1" applyFill="1" applyBorder="1" applyAlignment="1">
      <alignment horizontal="right" vertical="center" wrapText="1"/>
    </xf>
    <xf numFmtId="164" fontId="7" fillId="0" borderId="22" xfId="0" applyNumberFormat="1" applyFont="1" applyFill="1" applyBorder="1" applyAlignment="1">
      <alignment horizontal="right" vertical="center"/>
    </xf>
    <xf numFmtId="0" fontId="7" fillId="0" borderId="0" xfId="0" applyFont="1" applyAlignment="1">
      <alignment vertical="center"/>
    </xf>
    <xf numFmtId="0" fontId="2" fillId="0" borderId="0" xfId="71" applyFont="1" applyAlignment="1">
      <alignment horizontal="left" vertical="center"/>
    </xf>
    <xf numFmtId="0" fontId="2" fillId="0" borderId="0" xfId="64" applyFont="1" applyFill="1" applyAlignment="1">
      <alignment vertical="center" wrapText="1"/>
    </xf>
    <xf numFmtId="168" fontId="2" fillId="0" borderId="0" xfId="0" applyNumberFormat="1" applyFont="1" applyAlignment="1">
      <alignment vertical="center"/>
    </xf>
    <xf numFmtId="167" fontId="0" fillId="0" borderId="0" xfId="0" applyNumberFormat="1" applyAlignment="1">
      <alignment vertical="center"/>
    </xf>
    <xf numFmtId="0" fontId="7" fillId="0" borderId="25" xfId="69" applyFont="1" applyFill="1" applyBorder="1" applyAlignment="1">
      <alignment horizontal="center" vertical="center" wrapText="1"/>
    </xf>
    <xf numFmtId="0" fontId="2" fillId="0" borderId="25" xfId="69" applyFont="1" applyFill="1" applyBorder="1" applyAlignment="1">
      <alignment horizontal="right" vertical="center" wrapText="1"/>
    </xf>
    <xf numFmtId="3" fontId="7" fillId="0" borderId="0" xfId="69"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xf>
    <xf numFmtId="164" fontId="7" fillId="0" borderId="0" xfId="69" applyNumberFormat="1" applyFont="1" applyFill="1" applyBorder="1" applyAlignment="1">
      <alignment horizontal="right" vertical="center" wrapText="1"/>
    </xf>
    <xf numFmtId="0" fontId="7" fillId="0" borderId="25" xfId="69" applyFont="1" applyFill="1" applyBorder="1" applyAlignment="1">
      <alignment horizontal="left" vertical="center" wrapText="1"/>
    </xf>
    <xf numFmtId="3" fontId="7" fillId="0" borderId="25" xfId="69" applyNumberFormat="1" applyFont="1" applyFill="1" applyBorder="1" applyAlignment="1">
      <alignment horizontal="right" vertical="center" wrapText="1"/>
    </xf>
    <xf numFmtId="164" fontId="7" fillId="0" borderId="25" xfId="69" applyNumberFormat="1" applyFont="1" applyFill="1" applyBorder="1" applyAlignment="1">
      <alignment horizontal="right" vertical="center" wrapText="1"/>
    </xf>
    <xf numFmtId="166" fontId="7" fillId="0" borderId="25" xfId="69" applyNumberFormat="1" applyFont="1" applyFill="1" applyBorder="1" applyAlignment="1">
      <alignment horizontal="right" vertical="center" wrapText="1"/>
    </xf>
    <xf numFmtId="0" fontId="7" fillId="0" borderId="26" xfId="69" applyFont="1" applyFill="1" applyBorder="1" applyAlignment="1">
      <alignment horizontal="left" vertical="center" wrapText="1"/>
    </xf>
    <xf numFmtId="3" fontId="7" fillId="0" borderId="26" xfId="69" applyNumberFormat="1" applyFont="1" applyFill="1" applyBorder="1" applyAlignment="1">
      <alignment horizontal="right" vertical="center" wrapText="1"/>
    </xf>
    <xf numFmtId="164" fontId="7" fillId="0" borderId="26" xfId="69" applyNumberFormat="1" applyFont="1" applyFill="1" applyBorder="1" applyAlignment="1">
      <alignment horizontal="right" vertical="center" wrapText="1"/>
    </xf>
    <xf numFmtId="166" fontId="7" fillId="0" borderId="26" xfId="69" applyNumberFormat="1" applyFont="1" applyFill="1" applyBorder="1" applyAlignment="1">
      <alignment horizontal="right" vertical="center" wrapText="1"/>
    </xf>
    <xf numFmtId="165" fontId="7" fillId="0" borderId="25" xfId="69" applyNumberFormat="1" applyFont="1" applyFill="1" applyBorder="1" applyAlignment="1">
      <alignment horizontal="right" vertical="center" wrapText="1"/>
    </xf>
    <xf numFmtId="0" fontId="12" fillId="0" borderId="16" xfId="69" applyFont="1" applyFill="1" applyBorder="1" applyAlignment="1">
      <alignment vertical="center"/>
    </xf>
    <xf numFmtId="0" fontId="2" fillId="0" borderId="0" xfId="0" applyFont="1" applyFill="1" applyAlignment="1">
      <alignment vertical="center" wrapText="1"/>
    </xf>
    <xf numFmtId="0" fontId="7" fillId="0" borderId="0" xfId="66" applyFont="1" applyAlignment="1">
      <alignment horizontal="left" vertical="center"/>
    </xf>
    <xf numFmtId="0" fontId="7" fillId="0" borderId="0" xfId="0" applyFont="1" applyFill="1" applyAlignment="1">
      <alignment vertical="center" wrapText="1"/>
    </xf>
    <xf numFmtId="0" fontId="2" fillId="0" borderId="0" xfId="64" applyFont="1" applyFill="1" applyAlignment="1">
      <alignment vertical="center" wrapText="1"/>
    </xf>
    <xf numFmtId="0" fontId="7" fillId="0" borderId="20" xfId="69" applyFont="1" applyFill="1" applyBorder="1" applyAlignment="1">
      <alignment horizontal="center" vertical="center" wrapText="1"/>
    </xf>
    <xf numFmtId="0" fontId="1" fillId="0" borderId="19" xfId="0" applyFont="1" applyFill="1" applyBorder="1" applyAlignment="1">
      <alignment horizontal="center" vertical="center" wrapText="1"/>
    </xf>
    <xf numFmtId="0" fontId="48" fillId="0" borderId="27" xfId="88" applyAlignment="1">
      <alignment vertical="center" wrapText="1"/>
    </xf>
    <xf numFmtId="0" fontId="10" fillId="0" borderId="0" xfId="63" applyFont="1" applyFill="1" applyAlignment="1">
      <alignment vertical="center" wrapText="1"/>
    </xf>
    <xf numFmtId="0" fontId="10" fillId="0" borderId="0" xfId="63" applyFont="1" applyFill="1" applyAlignment="1">
      <alignment vertical="center"/>
    </xf>
    <xf numFmtId="0" fontId="2" fillId="0" borderId="0" xfId="63" applyFont="1" applyAlignment="1">
      <alignment horizontal="justify" vertical="center" wrapText="1"/>
    </xf>
    <xf numFmtId="0" fontId="7" fillId="0" borderId="0" xfId="63" applyFont="1" applyAlignment="1">
      <alignment horizontal="justify" vertical="center" wrapText="1"/>
    </xf>
    <xf numFmtId="0" fontId="10" fillId="0" borderId="0" xfId="63" applyFont="1" applyAlignment="1">
      <alignment vertical="center" wrapText="1"/>
    </xf>
    <xf numFmtId="0" fontId="2" fillId="0" borderId="0" xfId="63" applyFont="1" applyAlignment="1">
      <alignment vertical="center" wrapText="1"/>
    </xf>
    <xf numFmtId="0" fontId="48" fillId="0" borderId="27" xfId="88" applyAlignment="1">
      <alignment vertical="center"/>
    </xf>
    <xf numFmtId="0" fontId="49" fillId="0" borderId="0" xfId="89" applyBorder="1" applyAlignment="1">
      <alignment vertical="center"/>
    </xf>
  </cellXfs>
  <cellStyles count="9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bin" xfId="20" xr:uid="{00000000-0005-0000-0000-000013000000}"/>
    <cellStyle name="Calcul" xfId="21" builtinId="22" customBuiltin="1"/>
    <cellStyle name="Calculation" xfId="22" xr:uid="{00000000-0005-0000-0000-000015000000}"/>
    <cellStyle name="cell" xfId="23" xr:uid="{00000000-0005-0000-0000-000016000000}"/>
    <cellStyle name="Check Cell" xfId="24" xr:uid="{00000000-0005-0000-0000-000017000000}"/>
    <cellStyle name="Col&amp;RowHeadings" xfId="25" xr:uid="{00000000-0005-0000-0000-000018000000}"/>
    <cellStyle name="ColCodes" xfId="26" xr:uid="{00000000-0005-0000-0000-000019000000}"/>
    <cellStyle name="ColTitles" xfId="27" xr:uid="{00000000-0005-0000-0000-00001A000000}"/>
    <cellStyle name="column" xfId="28" xr:uid="{00000000-0005-0000-0000-00001B000000}"/>
    <cellStyle name="Comma [0]_B3.1a" xfId="29" xr:uid="{00000000-0005-0000-0000-00001C000000}"/>
    <cellStyle name="Comma 2" xfId="30" xr:uid="{00000000-0005-0000-0000-00001D000000}"/>
    <cellStyle name="Comma_B3.1a" xfId="31" xr:uid="{00000000-0005-0000-0000-00001E000000}"/>
    <cellStyle name="Currency [0]_B3.1a" xfId="32" xr:uid="{00000000-0005-0000-0000-00001F000000}"/>
    <cellStyle name="Currency_B3.1a" xfId="33" xr:uid="{00000000-0005-0000-0000-000020000000}"/>
    <cellStyle name="DataEntryCells" xfId="34" xr:uid="{00000000-0005-0000-0000-000021000000}"/>
    <cellStyle name="Explanatory Text" xfId="35" xr:uid="{00000000-0005-0000-0000-000022000000}"/>
    <cellStyle name="formula" xfId="36" xr:uid="{00000000-0005-0000-0000-000023000000}"/>
    <cellStyle name="gap" xfId="37" xr:uid="{00000000-0005-0000-0000-000024000000}"/>
    <cellStyle name="Good" xfId="38" xr:uid="{00000000-0005-0000-0000-000025000000}"/>
    <cellStyle name="GreyBackground" xfId="39" xr:uid="{00000000-0005-0000-0000-000026000000}"/>
    <cellStyle name="Heading 1" xfId="40" xr:uid="{00000000-0005-0000-0000-000027000000}"/>
    <cellStyle name="Heading 2" xfId="41" xr:uid="{00000000-0005-0000-0000-000028000000}"/>
    <cellStyle name="Heading 3" xfId="42" xr:uid="{00000000-0005-0000-0000-000029000000}"/>
    <cellStyle name="Heading 4" xfId="43" xr:uid="{00000000-0005-0000-0000-00002A000000}"/>
    <cellStyle name="Hyperlink 2" xfId="44" xr:uid="{00000000-0005-0000-0000-00002B000000}"/>
    <cellStyle name="Input" xfId="45" xr:uid="{00000000-0005-0000-0000-00002C000000}"/>
    <cellStyle name="ISC" xfId="46" xr:uid="{00000000-0005-0000-0000-00002D000000}"/>
    <cellStyle name="level1a" xfId="47" xr:uid="{00000000-0005-0000-0000-00002E000000}"/>
    <cellStyle name="level2" xfId="48" xr:uid="{00000000-0005-0000-0000-00002F000000}"/>
    <cellStyle name="level2a" xfId="49" xr:uid="{00000000-0005-0000-0000-000030000000}"/>
    <cellStyle name="level3" xfId="50" xr:uid="{00000000-0005-0000-0000-000031000000}"/>
    <cellStyle name="Lien hypertexte 2" xfId="51" xr:uid="{00000000-0005-0000-0000-000032000000}"/>
    <cellStyle name="Lien hypertexte 3" xfId="52" xr:uid="{00000000-0005-0000-0000-000033000000}"/>
    <cellStyle name="Linked Cell" xfId="53" xr:uid="{00000000-0005-0000-0000-000034000000}"/>
    <cellStyle name="Migliaia (0)_conti99" xfId="54" xr:uid="{00000000-0005-0000-0000-000035000000}"/>
    <cellStyle name="Milliers" xfId="55" builtinId="3"/>
    <cellStyle name="Neutral" xfId="56" xr:uid="{00000000-0005-0000-0000-000037000000}"/>
    <cellStyle name="Normaali_Y8_Fin02" xfId="57" xr:uid="{00000000-0005-0000-0000-000038000000}"/>
    <cellStyle name="Normal" xfId="0" builtinId="0"/>
    <cellStyle name="Normal 2" xfId="58" xr:uid="{00000000-0005-0000-0000-00003A000000}"/>
    <cellStyle name="Normal 2 2" xfId="59" xr:uid="{00000000-0005-0000-0000-00003B000000}"/>
    <cellStyle name="Normal 2 3" xfId="60" xr:uid="{00000000-0005-0000-0000-00003C000000}"/>
    <cellStyle name="Normal 2 4" xfId="61" xr:uid="{00000000-0005-0000-0000-00003D000000}"/>
    <cellStyle name="Normal 2 5" xfId="62" xr:uid="{00000000-0005-0000-0000-00003E000000}"/>
    <cellStyle name="Normal 2_TC_A1" xfId="63" xr:uid="{00000000-0005-0000-0000-00003F000000}"/>
    <cellStyle name="Normal 3" xfId="64" xr:uid="{00000000-0005-0000-0000-000040000000}"/>
    <cellStyle name="Normal 3 2" xfId="65" xr:uid="{00000000-0005-0000-0000-000041000000}"/>
    <cellStyle name="Normal 4" xfId="66" xr:uid="{00000000-0005-0000-0000-000042000000}"/>
    <cellStyle name="Normal 4 2" xfId="67" xr:uid="{00000000-0005-0000-0000-000043000000}"/>
    <cellStyle name="Normal 4 3" xfId="68" xr:uid="{00000000-0005-0000-0000-000044000000}"/>
    <cellStyle name="Normal 5" xfId="69" xr:uid="{00000000-0005-0000-0000-000045000000}"/>
    <cellStyle name="Normal_09_08_1" xfId="70" xr:uid="{00000000-0005-0000-0000-000046000000}"/>
    <cellStyle name="Normal_09_11" xfId="71" xr:uid="{00000000-0005-0000-0000-000047000000}"/>
    <cellStyle name="Output" xfId="72" xr:uid="{00000000-0005-0000-0000-000048000000}"/>
    <cellStyle name="Percent 2" xfId="73" xr:uid="{00000000-0005-0000-0000-000049000000}"/>
    <cellStyle name="Percent_1 SubOverv.USd" xfId="74" xr:uid="{00000000-0005-0000-0000-00004A000000}"/>
    <cellStyle name="Prozent_SubCatperStud" xfId="75" xr:uid="{00000000-0005-0000-0000-00004B000000}"/>
    <cellStyle name="row" xfId="76" xr:uid="{00000000-0005-0000-0000-00004C000000}"/>
    <cellStyle name="RowCodes" xfId="77" xr:uid="{00000000-0005-0000-0000-00004D000000}"/>
    <cellStyle name="Row-Col Headings" xfId="78" xr:uid="{00000000-0005-0000-0000-00004E000000}"/>
    <cellStyle name="RowTitles_CENTRAL_GOVT" xfId="79" xr:uid="{00000000-0005-0000-0000-00004F000000}"/>
    <cellStyle name="RowTitles-Col2" xfId="80" xr:uid="{00000000-0005-0000-0000-000050000000}"/>
    <cellStyle name="RowTitles-Detail" xfId="81" xr:uid="{00000000-0005-0000-0000-000051000000}"/>
    <cellStyle name="Standard_Info" xfId="82" xr:uid="{00000000-0005-0000-0000-000052000000}"/>
    <cellStyle name="temp" xfId="83" xr:uid="{00000000-0005-0000-0000-000053000000}"/>
    <cellStyle name="Title" xfId="84" xr:uid="{00000000-0005-0000-0000-000054000000}"/>
    <cellStyle name="title1" xfId="85" xr:uid="{00000000-0005-0000-0000-000055000000}"/>
    <cellStyle name="Titre 1" xfId="87" builtinId="16"/>
    <cellStyle name="Titre 2" xfId="88" builtinId="17"/>
    <cellStyle name="Titre 3" xfId="89" builtinId="18"/>
    <cellStyle name="Warning Text" xfId="86" xr:uid="{00000000-0005-0000-0000-00005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'8.03 Graphique 1'!$A$3</c:f>
          <c:strCache>
            <c:ptCount val="1"/>
            <c:pt idx="0">
              <c:v>[1] Évolution de la part des enseignants non-titulaires dans le secteur public pour certains groupes de discipline </c:v>
            </c:pt>
          </c:strCache>
        </c:strRef>
      </c:tx>
      <c:overlay val="0"/>
      <c:txPr>
        <a:bodyPr/>
        <a:lstStyle/>
        <a:p>
          <a:pPr>
            <a:defRPr sz="1000" b="1"/>
          </a:pPr>
          <a:endParaRPr lang="fr-FR"/>
        </a:p>
      </c:txPr>
    </c:title>
    <c:autoTitleDeleted val="0"/>
    <c:plotArea>
      <c:layout>
        <c:manualLayout>
          <c:layoutTarget val="inner"/>
          <c:xMode val="edge"/>
          <c:yMode val="edge"/>
          <c:x val="4.9126547537722158E-2"/>
          <c:y val="7.1436554301680028E-2"/>
          <c:w val="0.94981602593793424"/>
          <c:h val="0.85342767637916228"/>
        </c:manualLayout>
      </c:layout>
      <c:barChart>
        <c:barDir val="col"/>
        <c:grouping val="clustered"/>
        <c:varyColors val="0"/>
        <c:ser>
          <c:idx val="1"/>
          <c:order val="0"/>
          <c:spPr>
            <a:ln>
              <a:solidFill>
                <a:schemeClr val="tx2">
                  <a:lumMod val="20000"/>
                  <a:lumOff val="80000"/>
                </a:schemeClr>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'8.03 Graphique 1'!$M$18:$P$18</c:f>
              <c:strCache>
                <c:ptCount val="4"/>
                <c:pt idx="0">
                  <c:v>Total domaine de la production et des services</c:v>
                </c:pt>
                <c:pt idx="1">
                  <c:v>Total disciplines générales</c:v>
                </c:pt>
                <c:pt idx="2">
                  <c:v>Langues</c:v>
                </c:pt>
                <c:pt idx="3">
                  <c:v>Mathématiques</c:v>
                </c:pt>
              </c:strCache>
            </c:strRef>
          </c:cat>
          <c:val>
            <c:numRef>
              <c:f>'8.03 Graphique 1'!$M$19:$P$19</c:f>
              <c:numCache>
                <c:formatCode>0.0</c:formatCode>
                <c:ptCount val="4"/>
                <c:pt idx="0">
                  <c:v>26.700000000000003</c:v>
                </c:pt>
                <c:pt idx="1">
                  <c:v>7.9</c:v>
                </c:pt>
                <c:pt idx="2">
                  <c:v>6.6</c:v>
                </c:pt>
                <c:pt idx="3">
                  <c:v>4</c:v>
                </c:pt>
              </c:numCache>
            </c:numRef>
          </c:val>
          <c:extLst>
            <c:ext xmlns:c16="http://schemas.microsoft.com/office/drawing/2014/chart" uri="{C3380CC4-5D6E-409C-BE32-E72D297353CC}">
              <c16:uniqueId val="{00000001-6FAD-4BEB-AB39-227B1E8A7E35}"/>
            </c:ext>
          </c:extLst>
        </c:ser>
        <c:dLbls>
          <c:showLegendKey val="0"/>
          <c:showVal val="0"/>
          <c:showCatName val="0"/>
          <c:showSerName val="0"/>
          <c:showPercent val="0"/>
          <c:showBubbleSize val="0"/>
        </c:dLbls>
        <c:gapWidth val="50"/>
        <c:axId val="685090352"/>
        <c:axId val="1"/>
      </c:barChart>
      <c:catAx>
        <c:axId val="685090352"/>
        <c:scaling>
          <c:orientation val="minMax"/>
        </c:scaling>
        <c:delete val="0"/>
        <c:axPos val="b"/>
        <c:numFmt formatCode="General" sourceLinked="1"/>
        <c:majorTickMark val="out"/>
        <c:minorTickMark val="cross"/>
        <c:tickLblPos val="nextTo"/>
        <c:spPr>
          <a:ln>
            <a:noFill/>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1"/>
      </c:catAx>
      <c:valAx>
        <c:axId val="1"/>
        <c:scaling>
          <c:orientation val="minMax"/>
          <c:max val="30"/>
          <c:min val="0"/>
        </c:scaling>
        <c:delete val="1"/>
        <c:axPos val="l"/>
        <c:numFmt formatCode="#,##0" sourceLinked="0"/>
        <c:majorTickMark val="out"/>
        <c:minorTickMark val="none"/>
        <c:tickLblPos val="nextTo"/>
        <c:crossAx val="685090352"/>
        <c:crossesAt val="2022"/>
        <c:crossBetween val="between"/>
        <c:majorUnit val="5"/>
        <c:minorUnit val="0.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381000</xdr:colOff>
      <xdr:row>3</xdr:row>
      <xdr:rowOff>276225</xdr:rowOff>
    </xdr:from>
    <xdr:to>
      <xdr:col>6</xdr:col>
      <xdr:colOff>523875</xdr:colOff>
      <xdr:row>21</xdr:row>
      <xdr:rowOff>142875</xdr:rowOff>
    </xdr:to>
    <xdr:graphicFrame macro="">
      <xdr:nvGraphicFramePr>
        <xdr:cNvPr id="42180" name="Chart 1">
          <a:extLst>
            <a:ext uri="{FF2B5EF4-FFF2-40B4-BE49-F238E27FC236}">
              <a16:creationId xmlns:a16="http://schemas.microsoft.com/office/drawing/2014/main" id="{00000000-0008-0000-0100-0000C4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0"/>
  <dimension ref="A1:A98"/>
  <sheetViews>
    <sheetView showGridLines="0" tabSelected="1" zoomScaleNormal="100" zoomScaleSheetLayoutView="110" workbookViewId="0">
      <selection activeCell="A19" sqref="A19"/>
    </sheetView>
  </sheetViews>
  <sheetFormatPr baseColWidth="10" defaultRowHeight="12.75" x14ac:dyDescent="0.2"/>
  <cols>
    <col min="1" max="1" width="90.7109375" style="2" customWidth="1"/>
    <col min="2" max="16384" width="11.42578125" style="2"/>
  </cols>
  <sheetData>
    <row r="1" spans="1:1" x14ac:dyDescent="0.2">
      <c r="A1" s="1" t="s">
        <v>83</v>
      </c>
    </row>
    <row r="2" spans="1:1" x14ac:dyDescent="0.2">
      <c r="A2" s="7" t="s">
        <v>76</v>
      </c>
    </row>
    <row r="3" spans="1:1" x14ac:dyDescent="0.2">
      <c r="A3" s="8">
        <v>45301</v>
      </c>
    </row>
    <row r="4" spans="1:1" ht="20.25" thickBot="1" x14ac:dyDescent="0.35">
      <c r="A4" s="9" t="s">
        <v>77</v>
      </c>
    </row>
    <row r="5" spans="1:1" ht="15.75" thickTop="1" x14ac:dyDescent="0.25">
      <c r="A5" s="10"/>
    </row>
    <row r="6" spans="1:1" ht="25.5" x14ac:dyDescent="0.2">
      <c r="A6" s="11" t="s">
        <v>78</v>
      </c>
    </row>
    <row r="7" spans="1:1" ht="102" customHeight="1" x14ac:dyDescent="0.2">
      <c r="A7" s="12" t="s">
        <v>79</v>
      </c>
    </row>
    <row r="9" spans="1:1" ht="17.25" thickBot="1" x14ac:dyDescent="0.25">
      <c r="A9" s="80" t="s">
        <v>80</v>
      </c>
    </row>
    <row r="10" spans="1:1" ht="13.5" thickTop="1" x14ac:dyDescent="0.2">
      <c r="A10" s="1"/>
    </row>
    <row r="11" spans="1:1" x14ac:dyDescent="0.2">
      <c r="A11" s="1"/>
    </row>
    <row r="12" spans="1:1" s="3" customFormat="1" x14ac:dyDescent="0.2">
      <c r="A12" s="1"/>
    </row>
    <row r="13" spans="1:1" s="3" customFormat="1" ht="34.9" customHeight="1" x14ac:dyDescent="0.2"/>
    <row r="14" spans="1:1" s="3" customFormat="1" ht="35.1" customHeight="1" x14ac:dyDescent="0.2">
      <c r="A14" s="81" t="s">
        <v>58</v>
      </c>
    </row>
    <row r="15" spans="1:1" s="3" customFormat="1" ht="24" x14ac:dyDescent="0.2">
      <c r="A15" s="4" t="s">
        <v>70</v>
      </c>
    </row>
    <row r="16" spans="1:1" s="3" customFormat="1" ht="15" customHeight="1" x14ac:dyDescent="0.2">
      <c r="A16" s="4" t="s">
        <v>84</v>
      </c>
    </row>
    <row r="17" spans="1:1" s="3" customFormat="1" x14ac:dyDescent="0.2">
      <c r="A17" s="4"/>
    </row>
    <row r="18" spans="1:1" s="3" customFormat="1" x14ac:dyDescent="0.2">
      <c r="A18" s="4"/>
    </row>
    <row r="19" spans="1:1" s="3" customFormat="1" x14ac:dyDescent="0.2">
      <c r="A19" s="4"/>
    </row>
    <row r="20" spans="1:1" s="3" customFormat="1" x14ac:dyDescent="0.2">
      <c r="A20" s="4"/>
    </row>
    <row r="21" spans="1:1" s="3" customFormat="1" x14ac:dyDescent="0.2">
      <c r="A21" s="4"/>
    </row>
    <row r="22" spans="1:1" s="3" customFormat="1" x14ac:dyDescent="0.2">
      <c r="A22" s="4"/>
    </row>
    <row r="23" spans="1:1" s="3" customFormat="1" ht="35.1" customHeight="1" x14ac:dyDescent="0.2">
      <c r="A23" s="82" t="s">
        <v>59</v>
      </c>
    </row>
    <row r="24" spans="1:1" s="3" customFormat="1" ht="22.5" x14ac:dyDescent="0.2">
      <c r="A24" s="83" t="s">
        <v>60</v>
      </c>
    </row>
    <row r="25" spans="1:1" s="3" customFormat="1" ht="45" x14ac:dyDescent="0.2">
      <c r="A25" s="84" t="s">
        <v>87</v>
      </c>
    </row>
    <row r="26" spans="1:1" s="3" customFormat="1" ht="22.5" x14ac:dyDescent="0.2">
      <c r="A26" s="83" t="s">
        <v>61</v>
      </c>
    </row>
    <row r="27" spans="1:1" s="3" customFormat="1" ht="35.1" customHeight="1" x14ac:dyDescent="0.2">
      <c r="A27" s="85" t="s">
        <v>62</v>
      </c>
    </row>
    <row r="28" spans="1:1" s="3" customFormat="1" x14ac:dyDescent="0.2">
      <c r="A28" s="86" t="s">
        <v>63</v>
      </c>
    </row>
    <row r="29" spans="1:1" s="3" customFormat="1" x14ac:dyDescent="0.2"/>
    <row r="30" spans="1:1" s="3" customFormat="1" ht="22.5" x14ac:dyDescent="0.2">
      <c r="A30" s="5" t="s">
        <v>64</v>
      </c>
    </row>
    <row r="31" spans="1:1" s="3" customFormat="1" x14ac:dyDescent="0.2">
      <c r="A31" s="6"/>
    </row>
    <row r="32" spans="1:1" s="3" customFormat="1" x14ac:dyDescent="0.2">
      <c r="A32" s="82" t="s">
        <v>65</v>
      </c>
    </row>
    <row r="33" spans="1:1" s="3" customFormat="1" x14ac:dyDescent="0.2">
      <c r="A33" s="6"/>
    </row>
    <row r="34" spans="1:1" s="3" customFormat="1" x14ac:dyDescent="0.2">
      <c r="A34" s="6" t="s">
        <v>66</v>
      </c>
    </row>
    <row r="35" spans="1:1" s="3" customFormat="1" x14ac:dyDescent="0.2">
      <c r="A35" s="6" t="s">
        <v>67</v>
      </c>
    </row>
    <row r="36" spans="1:1" s="3" customFormat="1" x14ac:dyDescent="0.2">
      <c r="A36" s="6" t="s">
        <v>68</v>
      </c>
    </row>
    <row r="37" spans="1:1" s="3" customFormat="1" x14ac:dyDescent="0.2">
      <c r="A37" s="6" t="s">
        <v>69</v>
      </c>
    </row>
    <row r="38" spans="1:1" s="3" customFormat="1" x14ac:dyDescent="0.2"/>
    <row r="39" spans="1:1" s="3" customFormat="1" x14ac:dyDescent="0.2"/>
    <row r="40" spans="1:1" s="3" customFormat="1" x14ac:dyDescent="0.2"/>
    <row r="41" spans="1:1" s="3" customFormat="1" x14ac:dyDescent="0.2"/>
    <row r="42" spans="1:1" s="3" customFormat="1" x14ac:dyDescent="0.2"/>
    <row r="43" spans="1:1" s="3" customFormat="1" x14ac:dyDescent="0.2"/>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pans="1:1" s="3" customFormat="1" x14ac:dyDescent="0.2"/>
    <row r="82" spans="1:1" s="3" customFormat="1" x14ac:dyDescent="0.2"/>
    <row r="83" spans="1:1" s="3" customFormat="1" x14ac:dyDescent="0.2"/>
    <row r="84" spans="1:1" s="3" customFormat="1" x14ac:dyDescent="0.2"/>
    <row r="85" spans="1:1" s="3" customFormat="1" x14ac:dyDescent="0.2"/>
    <row r="86" spans="1:1" s="3" customFormat="1" x14ac:dyDescent="0.2"/>
    <row r="87" spans="1:1" s="3" customFormat="1" x14ac:dyDescent="0.2"/>
    <row r="88" spans="1:1" s="3" customFormat="1" x14ac:dyDescent="0.2"/>
    <row r="89" spans="1:1" s="3" customFormat="1" x14ac:dyDescent="0.2"/>
    <row r="90" spans="1:1" s="3" customFormat="1" x14ac:dyDescent="0.2"/>
    <row r="91" spans="1:1" s="3" customFormat="1" x14ac:dyDescent="0.2"/>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sheetData>
  <hyperlinks>
    <hyperlink ref="A7" r:id="rId1" xr:uid="{00000000-0004-0000-00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R51"/>
  <sheetViews>
    <sheetView showGridLines="0" zoomScaleNormal="100" workbookViewId="0">
      <selection activeCell="M11" sqref="M10:M11"/>
    </sheetView>
  </sheetViews>
  <sheetFormatPr baseColWidth="10" defaultColWidth="0" defaultRowHeight="0" customHeight="1" zeroHeight="1" x14ac:dyDescent="0.2"/>
  <cols>
    <col min="1" max="1" width="23.85546875" style="13" customWidth="1"/>
    <col min="2" max="11" width="8.7109375" style="13" customWidth="1"/>
    <col min="12" max="12" width="10.7109375" style="14" customWidth="1"/>
    <col min="13" max="16" width="14.85546875" style="14" customWidth="1"/>
    <col min="17" max="17" width="14.85546875" style="15" customWidth="1"/>
    <col min="18" max="18" width="14" style="15" customWidth="1"/>
    <col min="19" max="16384" width="0" style="13" hidden="1"/>
  </cols>
  <sheetData>
    <row r="1" spans="1:18" ht="17.25" thickBot="1" x14ac:dyDescent="0.25">
      <c r="A1" s="87" t="s">
        <v>81</v>
      </c>
      <c r="B1" s="87"/>
      <c r="C1" s="87"/>
      <c r="D1" s="87"/>
      <c r="E1" s="87"/>
      <c r="F1" s="87"/>
      <c r="G1" s="87"/>
      <c r="H1" s="87"/>
      <c r="I1" s="87"/>
      <c r="J1" s="87"/>
      <c r="K1" s="87"/>
    </row>
    <row r="2" spans="1:18" ht="15.75" thickTop="1" x14ac:dyDescent="0.2">
      <c r="A2" s="16"/>
      <c r="B2" s="16"/>
      <c r="C2" s="16"/>
      <c r="D2" s="16"/>
      <c r="E2" s="16"/>
      <c r="F2" s="16"/>
      <c r="G2" s="16"/>
      <c r="H2" s="16"/>
      <c r="I2" s="16"/>
      <c r="J2" s="16"/>
      <c r="K2" s="16"/>
    </row>
    <row r="3" spans="1:18" ht="15" x14ac:dyDescent="0.2">
      <c r="A3" s="88" t="str">
        <f>'8.03 Notice'!A15</f>
        <v xml:space="preserve">[1] Évolution de la part des enseignants non-titulaires dans le secteur public pour certains groupes de discipline </v>
      </c>
      <c r="B3" s="16"/>
      <c r="C3" s="16"/>
      <c r="D3" s="16"/>
      <c r="E3" s="16"/>
      <c r="F3" s="16"/>
      <c r="G3" s="16"/>
      <c r="H3" s="16"/>
      <c r="I3" s="16"/>
      <c r="J3" s="16"/>
      <c r="K3" s="16"/>
    </row>
    <row r="4" spans="1:18" ht="11.25" x14ac:dyDescent="0.2">
      <c r="R4" s="18"/>
    </row>
    <row r="5" spans="1:18" ht="11.25" x14ac:dyDescent="0.2">
      <c r="R5" s="21"/>
    </row>
    <row r="6" spans="1:18" ht="11.25" x14ac:dyDescent="0.2">
      <c r="Q6" s="22"/>
      <c r="R6" s="21"/>
    </row>
    <row r="7" spans="1:18" ht="11.25" x14ac:dyDescent="0.2">
      <c r="Q7" s="21"/>
      <c r="R7" s="21"/>
    </row>
    <row r="8" spans="1:18" ht="11.25" x14ac:dyDescent="0.2">
      <c r="Q8" s="21"/>
      <c r="R8" s="21"/>
    </row>
    <row r="9" spans="1:18" ht="11.25" x14ac:dyDescent="0.2">
      <c r="Q9" s="21"/>
      <c r="R9" s="21"/>
    </row>
    <row r="10" spans="1:18" ht="11.25" x14ac:dyDescent="0.2">
      <c r="R10" s="21"/>
    </row>
    <row r="11" spans="1:18" ht="11.25" x14ac:dyDescent="0.2">
      <c r="R11" s="21"/>
    </row>
    <row r="12" spans="1:18" ht="11.25" x14ac:dyDescent="0.2">
      <c r="Q12" s="21"/>
      <c r="R12" s="21"/>
    </row>
    <row r="13" spans="1:18" ht="11.25" x14ac:dyDescent="0.2">
      <c r="Q13" s="21"/>
      <c r="R13" s="21"/>
    </row>
    <row r="14" spans="1:18" ht="11.25" x14ac:dyDescent="0.2">
      <c r="Q14" s="21"/>
      <c r="R14" s="21"/>
    </row>
    <row r="15" spans="1:18" ht="11.25" x14ac:dyDescent="0.2">
      <c r="Q15" s="21"/>
      <c r="R15" s="21"/>
    </row>
    <row r="16" spans="1:18" ht="11.25" x14ac:dyDescent="0.2">
      <c r="Q16" s="21"/>
      <c r="R16" s="21"/>
    </row>
    <row r="17" spans="1:18" ht="11.25" x14ac:dyDescent="0.2">
      <c r="Q17" s="21"/>
      <c r="R17" s="21"/>
    </row>
    <row r="18" spans="1:18" ht="55.5" customHeight="1" x14ac:dyDescent="0.2">
      <c r="L18" s="17" t="s">
        <v>46</v>
      </c>
      <c r="M18" s="17" t="s">
        <v>47</v>
      </c>
      <c r="N18" s="17" t="s">
        <v>33</v>
      </c>
      <c r="O18" s="17" t="s">
        <v>22</v>
      </c>
      <c r="P18" s="17" t="s">
        <v>45</v>
      </c>
      <c r="Q18" s="17" t="s">
        <v>48</v>
      </c>
      <c r="R18" s="21"/>
    </row>
    <row r="19" spans="1:18" ht="11.25" x14ac:dyDescent="0.2">
      <c r="L19" s="19">
        <v>2023</v>
      </c>
      <c r="M19" s="20">
        <f>11.9+14.8</f>
        <v>26.700000000000003</v>
      </c>
      <c r="N19" s="20">
        <v>7.9</v>
      </c>
      <c r="O19" s="20">
        <v>6.6</v>
      </c>
      <c r="P19" s="20">
        <v>4</v>
      </c>
      <c r="Q19" s="19" t="s">
        <v>72</v>
      </c>
      <c r="R19" s="21"/>
    </row>
    <row r="20" spans="1:18" ht="11.25" x14ac:dyDescent="0.2">
      <c r="Q20" s="21"/>
      <c r="R20" s="21"/>
    </row>
    <row r="21" spans="1:18" ht="11.25" x14ac:dyDescent="0.2">
      <c r="Q21" s="21"/>
      <c r="R21" s="21"/>
    </row>
    <row r="22" spans="1:18" ht="16.5" customHeight="1" x14ac:dyDescent="0.2">
      <c r="Q22" s="21"/>
      <c r="R22" s="21"/>
    </row>
    <row r="23" spans="1:18" ht="12.75" customHeight="1" x14ac:dyDescent="0.2">
      <c r="A23" s="75" t="s">
        <v>73</v>
      </c>
      <c r="B23" s="75"/>
      <c r="C23" s="75"/>
      <c r="D23" s="75"/>
      <c r="E23" s="75"/>
      <c r="F23" s="75"/>
      <c r="G23" s="75"/>
      <c r="H23" s="75"/>
      <c r="I23" s="75"/>
      <c r="Q23" s="21"/>
      <c r="R23" s="21"/>
    </row>
    <row r="24" spans="1:18" ht="15.75" customHeight="1" x14ac:dyDescent="0.2">
      <c r="A24" s="74"/>
      <c r="B24" s="74"/>
      <c r="C24" s="74"/>
      <c r="D24" s="74"/>
      <c r="E24" s="74"/>
      <c r="F24" s="74"/>
      <c r="G24" s="74"/>
      <c r="H24" s="74"/>
      <c r="I24" s="74"/>
      <c r="J24" s="74"/>
      <c r="K24" s="74"/>
      <c r="Q24" s="21"/>
      <c r="R24" s="21"/>
    </row>
    <row r="25" spans="1:18" ht="26.25" customHeight="1" x14ac:dyDescent="0.2">
      <c r="A25" s="76" t="s">
        <v>52</v>
      </c>
      <c r="B25" s="74"/>
      <c r="C25" s="74"/>
      <c r="D25" s="74"/>
      <c r="E25" s="74"/>
      <c r="F25" s="74"/>
      <c r="G25" s="74"/>
      <c r="H25" s="74"/>
      <c r="I25" s="74"/>
      <c r="J25" s="74"/>
      <c r="K25" s="74"/>
      <c r="Q25" s="21"/>
      <c r="R25" s="21"/>
    </row>
    <row r="26" spans="1:18" ht="11.25" x14ac:dyDescent="0.2">
      <c r="A26" s="23"/>
      <c r="B26" s="23"/>
      <c r="C26" s="23"/>
      <c r="D26" s="23"/>
      <c r="E26" s="24"/>
      <c r="F26" s="24"/>
      <c r="G26" s="24"/>
      <c r="H26" s="24"/>
      <c r="I26" s="25"/>
      <c r="J26" s="24"/>
      <c r="K26" s="24"/>
      <c r="Q26" s="21"/>
      <c r="R26" s="21"/>
    </row>
    <row r="27" spans="1:18" ht="12.75" x14ac:dyDescent="0.2">
      <c r="A27" s="26" t="s">
        <v>74</v>
      </c>
      <c r="B27" s="27"/>
      <c r="C27" s="27"/>
      <c r="D27" s="27"/>
      <c r="E27" s="27"/>
      <c r="F27" s="27"/>
      <c r="G27" s="27"/>
      <c r="H27" s="27"/>
      <c r="I27" s="25"/>
      <c r="J27" s="27"/>
      <c r="K27" s="27"/>
      <c r="Q27" s="21"/>
      <c r="R27" s="21"/>
    </row>
    <row r="28" spans="1:18" ht="11.25" x14ac:dyDescent="0.2">
      <c r="H28" s="22" t="s">
        <v>86</v>
      </c>
      <c r="Q28" s="21"/>
      <c r="R28" s="21"/>
    </row>
    <row r="29" spans="1:18" ht="11.25" x14ac:dyDescent="0.2">
      <c r="Q29" s="21"/>
      <c r="R29" s="21"/>
    </row>
    <row r="30" spans="1:18" ht="11.25" x14ac:dyDescent="0.2">
      <c r="Q30" s="21"/>
      <c r="R30" s="21"/>
    </row>
    <row r="31" spans="1:18" ht="11.25" x14ac:dyDescent="0.2">
      <c r="Q31" s="21"/>
      <c r="R31" s="21"/>
    </row>
    <row r="32" spans="1:18" ht="11.25" x14ac:dyDescent="0.2">
      <c r="Q32" s="21"/>
      <c r="R32" s="21"/>
    </row>
    <row r="33" spans="2:18" ht="11.25" x14ac:dyDescent="0.2">
      <c r="Q33" s="21"/>
      <c r="R33" s="21"/>
    </row>
    <row r="34" spans="2:18" ht="11.25" x14ac:dyDescent="0.2">
      <c r="Q34" s="21"/>
      <c r="R34" s="21"/>
    </row>
    <row r="35" spans="2:18" ht="11.25" x14ac:dyDescent="0.2">
      <c r="Q35" s="21"/>
      <c r="R35" s="21"/>
    </row>
    <row r="36" spans="2:18" ht="11.25" x14ac:dyDescent="0.2">
      <c r="Q36" s="21"/>
      <c r="R36" s="21"/>
    </row>
    <row r="37" spans="2:18" ht="26.25" customHeight="1" x14ac:dyDescent="0.2">
      <c r="Q37" s="21"/>
      <c r="R37" s="21"/>
    </row>
    <row r="38" spans="2:18" ht="11.25" x14ac:dyDescent="0.2">
      <c r="B38" s="28"/>
      <c r="C38" s="28"/>
      <c r="D38" s="28"/>
      <c r="E38" s="28"/>
      <c r="F38" s="28"/>
      <c r="G38" s="28"/>
      <c r="H38" s="28"/>
      <c r="I38" s="28"/>
      <c r="J38" s="28"/>
      <c r="K38" s="28"/>
      <c r="Q38" s="21"/>
      <c r="R38" s="21"/>
    </row>
    <row r="39" spans="2:18" ht="11.25" x14ac:dyDescent="0.2">
      <c r="Q39" s="21"/>
      <c r="R39" s="21"/>
    </row>
    <row r="40" spans="2:18" ht="24" customHeight="1" x14ac:dyDescent="0.2">
      <c r="Q40" s="21"/>
      <c r="R40" s="21"/>
    </row>
    <row r="41" spans="2:18" ht="11.25" x14ac:dyDescent="0.2">
      <c r="Q41" s="21"/>
      <c r="R41" s="21"/>
    </row>
    <row r="42" spans="2:18" ht="11.25" x14ac:dyDescent="0.2">
      <c r="Q42" s="21"/>
      <c r="R42" s="21"/>
    </row>
    <row r="43" spans="2:18" ht="11.25" x14ac:dyDescent="0.2">
      <c r="Q43" s="21"/>
      <c r="R43" s="21"/>
    </row>
    <row r="44" spans="2:18" ht="11.25" x14ac:dyDescent="0.2">
      <c r="Q44" s="21"/>
      <c r="R44" s="21"/>
    </row>
    <row r="45" spans="2:18" ht="11.25" x14ac:dyDescent="0.2">
      <c r="Q45" s="21"/>
      <c r="R45" s="21"/>
    </row>
    <row r="46" spans="2:18" ht="11.25" x14ac:dyDescent="0.2">
      <c r="Q46" s="21"/>
      <c r="R46" s="21"/>
    </row>
    <row r="47" spans="2:18" ht="11.25" x14ac:dyDescent="0.2">
      <c r="Q47" s="21"/>
    </row>
    <row r="48" spans="2:18" ht="11.25" x14ac:dyDescent="0.2"/>
    <row r="49" ht="11.25" hidden="1" x14ac:dyDescent="0.2"/>
    <row r="50" ht="0" hidden="1" customHeight="1" x14ac:dyDescent="0.2"/>
    <row r="51" ht="0" hidden="1" customHeight="1" x14ac:dyDescent="0.2"/>
  </sheetData>
  <mergeCells count="3">
    <mergeCell ref="A24:K24"/>
    <mergeCell ref="A23:I23"/>
    <mergeCell ref="A25:K25"/>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K53"/>
  <sheetViews>
    <sheetView showGridLines="0" zoomScaleNormal="100" workbookViewId="0">
      <selection activeCell="A3" sqref="A3"/>
    </sheetView>
  </sheetViews>
  <sheetFormatPr baseColWidth="10" defaultRowHeight="12.75" x14ac:dyDescent="0.2"/>
  <cols>
    <col min="1" max="1" width="33.28515625" style="27" customWidth="1"/>
    <col min="2" max="6" width="14.7109375" style="27" customWidth="1"/>
    <col min="7" max="8" width="7.7109375" style="27" customWidth="1"/>
    <col min="9" max="9" width="7.7109375" style="30" customWidth="1"/>
    <col min="10" max="10" width="7.7109375" style="27" customWidth="1"/>
    <col min="11" max="16384" width="11.42578125" style="27"/>
  </cols>
  <sheetData>
    <row r="1" spans="1:11" ht="17.25" thickBot="1" x14ac:dyDescent="0.25">
      <c r="A1" s="87" t="s">
        <v>82</v>
      </c>
      <c r="B1" s="87"/>
      <c r="C1" s="87"/>
      <c r="D1" s="87"/>
      <c r="E1" s="87"/>
      <c r="F1" s="87"/>
      <c r="G1" s="87"/>
      <c r="H1" s="87"/>
      <c r="I1" s="87"/>
      <c r="J1" s="87"/>
      <c r="K1" s="87"/>
    </row>
    <row r="2" spans="1:11" ht="15.75" thickTop="1" x14ac:dyDescent="0.2">
      <c r="A2" s="29"/>
      <c r="B2" s="16"/>
      <c r="C2" s="16"/>
      <c r="D2" s="16"/>
      <c r="E2" s="16"/>
      <c r="F2" s="16"/>
      <c r="G2" s="16"/>
    </row>
    <row r="3" spans="1:11" ht="19.5" customHeight="1" x14ac:dyDescent="0.2">
      <c r="A3" s="88" t="str">
        <f>'8.03 Notice'!A16</f>
        <v xml:space="preserve">[2] Les enseignants chargés d'élèves à l'année dans le second degré par groupe de disciplines en 2023-2024 </v>
      </c>
      <c r="B3" s="24"/>
      <c r="C3" s="24"/>
      <c r="D3" s="24"/>
      <c r="E3" s="24"/>
      <c r="F3" s="24"/>
      <c r="G3" s="24"/>
      <c r="H3" s="24"/>
      <c r="I3" s="32"/>
      <c r="J3" s="24"/>
    </row>
    <row r="4" spans="1:11" x14ac:dyDescent="0.2">
      <c r="A4" s="31"/>
      <c r="B4" s="24"/>
      <c r="C4" s="24"/>
      <c r="D4" s="24"/>
      <c r="E4" s="24"/>
      <c r="F4" s="24"/>
      <c r="G4" s="24"/>
      <c r="H4" s="24"/>
      <c r="I4" s="32"/>
      <c r="J4" s="24"/>
    </row>
    <row r="5" spans="1:11" ht="22.5" customHeight="1" x14ac:dyDescent="0.2">
      <c r="A5" s="33"/>
      <c r="B5" s="34" t="s">
        <v>7</v>
      </c>
      <c r="C5" s="35"/>
      <c r="D5" s="35"/>
      <c r="E5" s="35"/>
      <c r="F5" s="35"/>
      <c r="G5" s="35"/>
      <c r="H5" s="36"/>
      <c r="I5" s="78" t="s">
        <v>49</v>
      </c>
      <c r="J5" s="79"/>
    </row>
    <row r="6" spans="1:11" ht="56.25" customHeight="1" x14ac:dyDescent="0.2">
      <c r="A6" s="59"/>
      <c r="B6" s="60" t="s">
        <v>38</v>
      </c>
      <c r="C6" s="60" t="s">
        <v>39</v>
      </c>
      <c r="D6" s="60" t="s">
        <v>40</v>
      </c>
      <c r="E6" s="60" t="s">
        <v>37</v>
      </c>
      <c r="F6" s="60" t="s">
        <v>32</v>
      </c>
      <c r="G6" s="60" t="s">
        <v>8</v>
      </c>
      <c r="H6" s="60" t="s">
        <v>9</v>
      </c>
      <c r="I6" s="60" t="s">
        <v>50</v>
      </c>
      <c r="J6" s="60" t="s">
        <v>8</v>
      </c>
    </row>
    <row r="7" spans="1:11" x14ac:dyDescent="0.2">
      <c r="A7" s="38" t="s">
        <v>2</v>
      </c>
      <c r="B7" s="39"/>
      <c r="C7" s="39"/>
      <c r="D7" s="40">
        <v>20</v>
      </c>
      <c r="E7" s="40"/>
      <c r="F7" s="40">
        <f>SUM(B7:E7)</f>
        <v>20</v>
      </c>
      <c r="G7" s="41">
        <f>0.333333333333333*100</f>
        <v>33.3333333333333</v>
      </c>
      <c r="H7" s="41">
        <f>0.0952380952380952*100</f>
        <v>9.5238095238095202</v>
      </c>
      <c r="I7" s="40">
        <v>4</v>
      </c>
      <c r="J7" s="41">
        <f>0.75*100</f>
        <v>75</v>
      </c>
    </row>
    <row r="8" spans="1:11" x14ac:dyDescent="0.2">
      <c r="A8" s="38" t="s">
        <v>1</v>
      </c>
      <c r="B8" s="40">
        <f>+B9+B10</f>
        <v>150</v>
      </c>
      <c r="C8" s="40">
        <f t="shared" ref="C8:E8" si="0">+C9+C10</f>
        <v>48</v>
      </c>
      <c r="D8" s="40">
        <f t="shared" si="0"/>
        <v>50</v>
      </c>
      <c r="E8" s="40">
        <f t="shared" si="0"/>
        <v>25</v>
      </c>
      <c r="F8" s="40">
        <f>SUM(B8:E8)</f>
        <v>273</v>
      </c>
      <c r="G8" s="41">
        <f>0.886446886446886*100</f>
        <v>88.6446886446886</v>
      </c>
      <c r="H8" s="41">
        <f>0.0549450549450549*100</f>
        <v>5.4945054945054901</v>
      </c>
      <c r="I8" s="40">
        <f>+I9+I10</f>
        <v>13</v>
      </c>
      <c r="J8" s="41">
        <f>0.923076923076923*100</f>
        <v>92.307692307692307</v>
      </c>
    </row>
    <row r="9" spans="1:11" s="44" customFormat="1" x14ac:dyDescent="0.2">
      <c r="A9" s="73" t="s">
        <v>53</v>
      </c>
      <c r="B9" s="42">
        <v>139</v>
      </c>
      <c r="C9" s="42">
        <v>48</v>
      </c>
      <c r="D9" s="42">
        <v>40</v>
      </c>
      <c r="E9" s="42">
        <v>23</v>
      </c>
      <c r="F9" s="40">
        <f>SUM(B9:E9)</f>
        <v>250</v>
      </c>
      <c r="G9" s="43">
        <f>0.896*100</f>
        <v>89.600000000000009</v>
      </c>
      <c r="H9" s="43">
        <f>0.056*100</f>
        <v>5.6000000000000005</v>
      </c>
      <c r="I9" s="42">
        <v>12</v>
      </c>
      <c r="J9" s="43">
        <f>0.923076923076923*100</f>
        <v>92.307692307692307</v>
      </c>
    </row>
    <row r="10" spans="1:11" s="44" customFormat="1" x14ac:dyDescent="0.2">
      <c r="A10" s="73" t="s">
        <v>54</v>
      </c>
      <c r="B10" s="42">
        <v>11</v>
      </c>
      <c r="C10" s="39"/>
      <c r="D10" s="42">
        <v>10</v>
      </c>
      <c r="E10" s="42">
        <v>2</v>
      </c>
      <c r="F10" s="40">
        <f>SUM(B10:E10)</f>
        <v>23</v>
      </c>
      <c r="G10" s="43">
        <f>0.782608695652174*100</f>
        <v>78.260869565217391</v>
      </c>
      <c r="H10" s="43">
        <f>0.0434782608695652*100</f>
        <v>4.3478260869565206</v>
      </c>
      <c r="I10" s="42">
        <v>1</v>
      </c>
      <c r="J10" s="43">
        <v>100</v>
      </c>
    </row>
    <row r="11" spans="1:11" x14ac:dyDescent="0.2">
      <c r="A11" s="38" t="s">
        <v>22</v>
      </c>
      <c r="B11" s="40">
        <v>189</v>
      </c>
      <c r="C11" s="40">
        <v>9</v>
      </c>
      <c r="D11" s="40">
        <v>106</v>
      </c>
      <c r="E11" s="40">
        <v>59</v>
      </c>
      <c r="F11" s="40">
        <f t="shared" ref="F11:F22" si="1">SUM(B11:E11)</f>
        <v>363</v>
      </c>
      <c r="G11" s="41">
        <f>0.793388429752066*100</f>
        <v>79.338842975206603</v>
      </c>
      <c r="H11" s="41">
        <f>0.0661157024793388*100</f>
        <v>6.61157024793388</v>
      </c>
      <c r="I11" s="40">
        <v>24</v>
      </c>
      <c r="J11" s="41">
        <f>0.791666666666667*100</f>
        <v>79.1666666666667</v>
      </c>
    </row>
    <row r="12" spans="1:11" s="44" customFormat="1" x14ac:dyDescent="0.2">
      <c r="A12" s="73" t="s">
        <v>55</v>
      </c>
      <c r="B12" s="42">
        <v>93</v>
      </c>
      <c r="C12" s="42"/>
      <c r="D12" s="42">
        <v>51</v>
      </c>
      <c r="E12" s="42">
        <v>11</v>
      </c>
      <c r="F12" s="40">
        <f t="shared" si="1"/>
        <v>155</v>
      </c>
      <c r="G12" s="43">
        <f>0.896774193548387*100</f>
        <v>89.677419354838705</v>
      </c>
      <c r="H12" s="43">
        <f>0.0516129032258065*100</f>
        <v>5.1612903225806503</v>
      </c>
      <c r="I12" s="42">
        <v>12</v>
      </c>
      <c r="J12" s="43">
        <f>0.727272727272727*100</f>
        <v>72.727272727272691</v>
      </c>
    </row>
    <row r="13" spans="1:11" s="44" customFormat="1" x14ac:dyDescent="0.2">
      <c r="A13" s="73" t="s">
        <v>56</v>
      </c>
      <c r="B13" s="42">
        <v>30</v>
      </c>
      <c r="C13" s="42">
        <v>1</v>
      </c>
      <c r="D13" s="42">
        <v>23</v>
      </c>
      <c r="E13" s="42">
        <v>9</v>
      </c>
      <c r="F13" s="40">
        <f t="shared" si="1"/>
        <v>63</v>
      </c>
      <c r="G13" s="43">
        <f>0.888888888888889*100</f>
        <v>88.8888888888889</v>
      </c>
      <c r="H13" s="43">
        <f>0.126984126984127*100</f>
        <v>12.698412698412701</v>
      </c>
      <c r="I13" s="42">
        <v>5</v>
      </c>
      <c r="J13" s="43">
        <v>100</v>
      </c>
    </row>
    <row r="14" spans="1:11" s="44" customFormat="1" x14ac:dyDescent="0.2">
      <c r="A14" s="73" t="s">
        <v>57</v>
      </c>
      <c r="B14" s="42">
        <v>3</v>
      </c>
      <c r="C14" s="42"/>
      <c r="D14" s="42">
        <v>1</v>
      </c>
      <c r="E14" s="42"/>
      <c r="F14" s="40">
        <f t="shared" si="1"/>
        <v>4</v>
      </c>
      <c r="G14" s="43">
        <v>100</v>
      </c>
      <c r="H14" s="43">
        <v>0</v>
      </c>
      <c r="I14" s="42">
        <v>1</v>
      </c>
      <c r="J14" s="43">
        <v>100</v>
      </c>
    </row>
    <row r="15" spans="1:11" ht="15" customHeight="1" x14ac:dyDescent="0.2">
      <c r="A15" s="38" t="s">
        <v>23</v>
      </c>
      <c r="B15" s="40">
        <f>146-56-7</f>
        <v>83</v>
      </c>
      <c r="C15" s="40"/>
      <c r="D15" s="40">
        <v>56</v>
      </c>
      <c r="E15" s="40">
        <v>7</v>
      </c>
      <c r="F15" s="40">
        <f t="shared" si="1"/>
        <v>146</v>
      </c>
      <c r="G15" s="41">
        <f>0.472602739726027*100</f>
        <v>47.260273972602704</v>
      </c>
      <c r="H15" s="41">
        <f>0.0410958904109589*100</f>
        <v>4.10958904109589</v>
      </c>
      <c r="I15" s="40">
        <v>13</v>
      </c>
      <c r="J15" s="41">
        <f>0.357142857142857*100</f>
        <v>35.714285714285701</v>
      </c>
    </row>
    <row r="16" spans="1:11" x14ac:dyDescent="0.2">
      <c r="A16" s="38" t="s">
        <v>24</v>
      </c>
      <c r="B16" s="39"/>
      <c r="C16" s="39"/>
      <c r="D16" s="40">
        <v>16</v>
      </c>
      <c r="E16" s="40">
        <v>1</v>
      </c>
      <c r="F16" s="40">
        <f t="shared" si="1"/>
        <v>17</v>
      </c>
      <c r="G16" s="41">
        <f>0.647058823529412*100</f>
        <v>64.705882352941202</v>
      </c>
      <c r="H16" s="41"/>
      <c r="I16" s="40">
        <v>4</v>
      </c>
      <c r="J16" s="41">
        <v>100</v>
      </c>
    </row>
    <row r="17" spans="1:10" x14ac:dyDescent="0.2">
      <c r="A17" s="45" t="s">
        <v>17</v>
      </c>
      <c r="B17" s="40">
        <f>189-62-12+1</f>
        <v>116</v>
      </c>
      <c r="C17" s="40">
        <v>31</v>
      </c>
      <c r="D17" s="40">
        <v>62</v>
      </c>
      <c r="E17" s="40">
        <v>18</v>
      </c>
      <c r="F17" s="40">
        <f t="shared" si="1"/>
        <v>227</v>
      </c>
      <c r="G17" s="41">
        <f>100/F17*100</f>
        <v>44.052863436123346</v>
      </c>
      <c r="H17" s="41">
        <f>9/F17*100</f>
        <v>3.9647577092511015</v>
      </c>
      <c r="I17" s="40">
        <v>12</v>
      </c>
      <c r="J17" s="41">
        <f>0.583333333333333*100</f>
        <v>58.3333333333333</v>
      </c>
    </row>
    <row r="18" spans="1:10" x14ac:dyDescent="0.2">
      <c r="A18" s="38" t="s">
        <v>3</v>
      </c>
      <c r="B18" s="40">
        <v>47</v>
      </c>
      <c r="C18" s="40"/>
      <c r="D18" s="40">
        <v>33</v>
      </c>
      <c r="E18" s="40">
        <v>5</v>
      </c>
      <c r="F18" s="40">
        <f t="shared" si="1"/>
        <v>85</v>
      </c>
      <c r="G18" s="41">
        <f>0.494117647058824*100</f>
        <v>49.411764705882398</v>
      </c>
      <c r="H18" s="41">
        <f>0.152941176470588*100</f>
        <v>15.294117647058799</v>
      </c>
      <c r="I18" s="40">
        <v>7</v>
      </c>
      <c r="J18" s="41">
        <f>0.428571428571429*100</f>
        <v>42.857142857142897</v>
      </c>
    </row>
    <row r="19" spans="1:10" x14ac:dyDescent="0.2">
      <c r="A19" s="38" t="s">
        <v>71</v>
      </c>
      <c r="B19" s="40">
        <v>53</v>
      </c>
      <c r="C19" s="40"/>
      <c r="D19" s="40">
        <v>32</v>
      </c>
      <c r="E19" s="40">
        <v>4</v>
      </c>
      <c r="F19" s="40">
        <f t="shared" si="1"/>
        <v>89</v>
      </c>
      <c r="G19" s="41">
        <f>0.775280898876405*100</f>
        <v>77.52808988764049</v>
      </c>
      <c r="H19" s="41">
        <f>0.0795454545454545*100</f>
        <v>7.9545454545454506</v>
      </c>
      <c r="I19" s="40">
        <v>7</v>
      </c>
      <c r="J19" s="41">
        <f>0.857142857142857*100</f>
        <v>85.714285714285694</v>
      </c>
    </row>
    <row r="20" spans="1:10" x14ac:dyDescent="0.2">
      <c r="A20" s="38" t="s">
        <v>35</v>
      </c>
      <c r="B20" s="40">
        <v>25</v>
      </c>
      <c r="C20" s="39"/>
      <c r="D20" s="39"/>
      <c r="E20" s="40">
        <v>4</v>
      </c>
      <c r="F20" s="40">
        <f t="shared" si="1"/>
        <v>29</v>
      </c>
      <c r="G20" s="41">
        <f>0.344827586206897*100</f>
        <v>34.482758620689701</v>
      </c>
      <c r="H20" s="41">
        <f>0.275862068965517*100</f>
        <v>27.586206896551701</v>
      </c>
      <c r="I20" s="40">
        <v>3</v>
      </c>
      <c r="J20" s="41">
        <f>0.5*100</f>
        <v>50</v>
      </c>
    </row>
    <row r="21" spans="1:10" x14ac:dyDescent="0.2">
      <c r="A21" s="38" t="s">
        <v>0</v>
      </c>
      <c r="B21" s="40">
        <v>24</v>
      </c>
      <c r="C21" s="39"/>
      <c r="D21" s="40">
        <v>6</v>
      </c>
      <c r="E21" s="40">
        <v>7</v>
      </c>
      <c r="F21" s="40">
        <f t="shared" si="1"/>
        <v>37</v>
      </c>
      <c r="G21" s="41">
        <f>0.648648648648649*100</f>
        <v>64.864864864864899</v>
      </c>
      <c r="H21" s="41">
        <f>0.189189189189189*100</f>
        <v>18.918918918918902</v>
      </c>
      <c r="I21" s="40">
        <v>4</v>
      </c>
      <c r="J21" s="41">
        <v>100</v>
      </c>
    </row>
    <row r="22" spans="1:10" x14ac:dyDescent="0.2">
      <c r="A22" s="38" t="s">
        <v>36</v>
      </c>
      <c r="B22" s="40">
        <f>151-15-29-14</f>
        <v>93</v>
      </c>
      <c r="C22" s="40">
        <v>15</v>
      </c>
      <c r="D22" s="40">
        <v>29</v>
      </c>
      <c r="E22" s="40">
        <v>14</v>
      </c>
      <c r="F22" s="40">
        <f t="shared" si="1"/>
        <v>151</v>
      </c>
      <c r="G22" s="41">
        <f>0.463576158940397*100</f>
        <v>46.357615894039697</v>
      </c>
      <c r="H22" s="41">
        <f>0.0529801324503311*100</f>
        <v>5.2980132450331094</v>
      </c>
      <c r="I22" s="40">
        <v>9</v>
      </c>
      <c r="J22" s="41">
        <f>0.333333333333333*100</f>
        <v>33.3333333333333</v>
      </c>
    </row>
    <row r="23" spans="1:10" x14ac:dyDescent="0.2">
      <c r="A23" s="64" t="s">
        <v>33</v>
      </c>
      <c r="B23" s="65">
        <f>+B7+B8+B11+B15+B16+B17+B18+B19+B20+B21+B22</f>
        <v>780</v>
      </c>
      <c r="C23" s="65">
        <f>+C7+C8+C11+C15+C16+C17+C18+C19+C20+C21+C22</f>
        <v>103</v>
      </c>
      <c r="D23" s="65">
        <f>+D7+D8+D11+D15+D16+D17+D18+D19+D20+D21+D22</f>
        <v>410</v>
      </c>
      <c r="E23" s="65">
        <f>+E7+E8+E11+E15+E16+E17+E18+E19+E20+E21+E22</f>
        <v>144</v>
      </c>
      <c r="F23" s="65">
        <f>+F7+F8+F11+F15+F16+F17+F18+F19+F20+F21+F22</f>
        <v>1437</v>
      </c>
      <c r="G23" s="66">
        <f>917/F23*100</f>
        <v>63.813500347947119</v>
      </c>
      <c r="H23" s="66">
        <f>114/F23*100</f>
        <v>7.9331941544885183</v>
      </c>
      <c r="I23" s="65">
        <f>+I7+I8+I11+I15+I16+I17+I18+I19+I20+I21+I22</f>
        <v>100</v>
      </c>
      <c r="J23" s="66">
        <f>0.66*100</f>
        <v>66</v>
      </c>
    </row>
    <row r="24" spans="1:10" x14ac:dyDescent="0.2">
      <c r="A24" s="38" t="s">
        <v>4</v>
      </c>
      <c r="B24" s="40">
        <v>54</v>
      </c>
      <c r="C24" s="40"/>
      <c r="D24" s="40"/>
      <c r="E24" s="40">
        <v>4</v>
      </c>
      <c r="F24" s="40">
        <f>SUM(B24:E24)</f>
        <v>58</v>
      </c>
      <c r="G24" s="41">
        <f>11/F24*100</f>
        <v>18.96551724137931</v>
      </c>
      <c r="H24" s="41">
        <f>4/F24*100</f>
        <v>6.8965517241379306</v>
      </c>
      <c r="I24" s="40">
        <v>3</v>
      </c>
      <c r="J24" s="41">
        <f>1/I24*100</f>
        <v>33.333333333333329</v>
      </c>
    </row>
    <row r="25" spans="1:10" x14ac:dyDescent="0.2">
      <c r="A25" s="45" t="s">
        <v>16</v>
      </c>
      <c r="B25" s="46"/>
      <c r="C25" s="39">
        <v>4</v>
      </c>
      <c r="D25" s="39">
        <v>22</v>
      </c>
      <c r="E25" s="40"/>
      <c r="F25" s="40">
        <f>SUM(B25:E25)</f>
        <v>26</v>
      </c>
      <c r="G25" s="41">
        <f>1/F25*100</f>
        <v>3.8461538461538463</v>
      </c>
      <c r="H25" s="47">
        <v>0</v>
      </c>
      <c r="I25" s="40"/>
      <c r="J25" s="41"/>
    </row>
    <row r="26" spans="1:10" x14ac:dyDescent="0.2">
      <c r="A26" s="38" t="s">
        <v>44</v>
      </c>
      <c r="B26" s="40"/>
      <c r="C26" s="40">
        <v>10</v>
      </c>
      <c r="D26" s="40"/>
      <c r="E26" s="40"/>
      <c r="F26" s="40">
        <f>SUM(B26:E26)</f>
        <v>10</v>
      </c>
      <c r="G26" s="41">
        <f>4/F26*100</f>
        <v>40</v>
      </c>
      <c r="H26" s="41">
        <f>1/F26*100</f>
        <v>10</v>
      </c>
      <c r="I26" s="40"/>
      <c r="J26" s="41"/>
    </row>
    <row r="27" spans="1:10" x14ac:dyDescent="0.2">
      <c r="A27" s="38" t="s">
        <v>18</v>
      </c>
      <c r="B27" s="39"/>
      <c r="C27" s="40"/>
      <c r="D27" s="39"/>
      <c r="E27" s="46"/>
      <c r="F27" s="40"/>
      <c r="G27" s="41"/>
      <c r="H27" s="41"/>
      <c r="I27" s="40"/>
      <c r="J27" s="41"/>
    </row>
    <row r="28" spans="1:10" x14ac:dyDescent="0.2">
      <c r="A28" s="38" t="s">
        <v>19</v>
      </c>
      <c r="B28" s="40"/>
      <c r="C28" s="40">
        <v>6</v>
      </c>
      <c r="D28" s="39"/>
      <c r="E28" s="40"/>
      <c r="F28" s="40">
        <f>SUM(B28:E28)</f>
        <v>6</v>
      </c>
      <c r="G28" s="41">
        <f>2/F28*100</f>
        <v>33.333333333333329</v>
      </c>
      <c r="H28" s="41">
        <f>2/F28*100</f>
        <v>33.333333333333329</v>
      </c>
      <c r="I28" s="40"/>
      <c r="J28" s="41"/>
    </row>
    <row r="29" spans="1:10" x14ac:dyDescent="0.2">
      <c r="A29" s="38" t="s">
        <v>20</v>
      </c>
      <c r="B29" s="40"/>
      <c r="C29" s="40">
        <v>5</v>
      </c>
      <c r="D29" s="39"/>
      <c r="E29" s="39"/>
      <c r="F29" s="40">
        <f>SUM(B29:E29)</f>
        <v>5</v>
      </c>
      <c r="G29" s="41">
        <v>0</v>
      </c>
      <c r="H29" s="41">
        <f>1/F29*100</f>
        <v>20</v>
      </c>
      <c r="I29" s="40"/>
      <c r="J29" s="41"/>
    </row>
    <row r="30" spans="1:10" x14ac:dyDescent="0.2">
      <c r="A30" s="38" t="s">
        <v>26</v>
      </c>
      <c r="B30" s="40"/>
      <c r="C30" s="40">
        <v>17</v>
      </c>
      <c r="D30" s="40">
        <v>0</v>
      </c>
      <c r="E30" s="40"/>
      <c r="F30" s="40">
        <f t="shared" ref="F30:F32" si="2">SUM(B30:E30)</f>
        <v>17</v>
      </c>
      <c r="G30" s="41">
        <v>0</v>
      </c>
      <c r="H30" s="41">
        <f>4/F30*100</f>
        <v>23.52941176470588</v>
      </c>
      <c r="I30" s="40"/>
      <c r="J30" s="41"/>
    </row>
    <row r="31" spans="1:10" x14ac:dyDescent="0.2">
      <c r="A31" s="38" t="s">
        <v>27</v>
      </c>
      <c r="B31" s="40"/>
      <c r="C31" s="40">
        <v>15</v>
      </c>
      <c r="D31" s="40">
        <v>8</v>
      </c>
      <c r="E31" s="40"/>
      <c r="F31" s="40">
        <f t="shared" si="2"/>
        <v>23</v>
      </c>
      <c r="G31" s="41">
        <f>3/F31*100</f>
        <v>13.043478260869565</v>
      </c>
      <c r="H31" s="41">
        <f>1/F31*100</f>
        <v>4.3478260869565215</v>
      </c>
      <c r="I31" s="40"/>
      <c r="J31" s="41"/>
    </row>
    <row r="32" spans="1:10" ht="12.75" customHeight="1" x14ac:dyDescent="0.2">
      <c r="A32" s="45" t="s">
        <v>30</v>
      </c>
      <c r="B32" s="40">
        <v>1</v>
      </c>
      <c r="C32" s="40">
        <v>25</v>
      </c>
      <c r="D32" s="40">
        <v>5</v>
      </c>
      <c r="E32" s="40"/>
      <c r="F32" s="40">
        <f t="shared" si="2"/>
        <v>31</v>
      </c>
      <c r="G32" s="41">
        <f>30/F32*100</f>
        <v>96.774193548387103</v>
      </c>
      <c r="H32" s="41">
        <f>9/F32*100</f>
        <v>29.032258064516132</v>
      </c>
      <c r="I32" s="40"/>
      <c r="J32" s="41"/>
    </row>
    <row r="33" spans="1:10" x14ac:dyDescent="0.2">
      <c r="A33" s="38" t="s">
        <v>25</v>
      </c>
      <c r="B33" s="40"/>
      <c r="C33" s="40">
        <v>8</v>
      </c>
      <c r="D33" s="40"/>
      <c r="E33" s="40">
        <v>3</v>
      </c>
      <c r="F33" s="40">
        <f>SUM(C33:E33)</f>
        <v>11</v>
      </c>
      <c r="G33" s="41">
        <f>8/F33*100</f>
        <v>72.727272727272734</v>
      </c>
      <c r="H33" s="41">
        <f>2/F33*100</f>
        <v>18.181818181818183</v>
      </c>
      <c r="I33" s="40"/>
      <c r="J33" s="41"/>
    </row>
    <row r="34" spans="1:10" x14ac:dyDescent="0.2">
      <c r="A34" s="45" t="s">
        <v>31</v>
      </c>
      <c r="B34" s="40"/>
      <c r="C34" s="40"/>
      <c r="D34" s="40"/>
      <c r="E34" s="40"/>
      <c r="F34" s="40"/>
      <c r="G34" s="41"/>
      <c r="H34" s="41"/>
      <c r="I34" s="40"/>
      <c r="J34" s="41"/>
    </row>
    <row r="35" spans="1:10" x14ac:dyDescent="0.2">
      <c r="A35" s="45" t="s">
        <v>15</v>
      </c>
      <c r="B35" s="40"/>
      <c r="C35" s="40">
        <v>14</v>
      </c>
      <c r="D35" s="40"/>
      <c r="E35" s="40"/>
      <c r="F35" s="40">
        <f>SUM(B35:E35)</f>
        <v>14</v>
      </c>
      <c r="G35" s="41">
        <f>4/F35*100</f>
        <v>28.571428571428569</v>
      </c>
      <c r="H35" s="41">
        <f>2/F35*100</f>
        <v>14.285714285714285</v>
      </c>
      <c r="I35" s="40"/>
      <c r="J35" s="41"/>
    </row>
    <row r="36" spans="1:10" x14ac:dyDescent="0.2">
      <c r="A36" s="64" t="s">
        <v>10</v>
      </c>
      <c r="B36" s="72">
        <f>SUM(B24:B35)</f>
        <v>55</v>
      </c>
      <c r="C36" s="72">
        <f>SUM(C24:C35)</f>
        <v>104</v>
      </c>
      <c r="D36" s="72">
        <f t="shared" ref="D36:E36" si="3">SUM(D24:D35)</f>
        <v>35</v>
      </c>
      <c r="E36" s="72">
        <f t="shared" si="3"/>
        <v>7</v>
      </c>
      <c r="F36" s="72">
        <f>SUM(F24:F35)</f>
        <v>201</v>
      </c>
      <c r="G36" s="66">
        <f>56/F36*100</f>
        <v>27.860696517412936</v>
      </c>
      <c r="H36" s="66">
        <f>24/F36*100</f>
        <v>11.940298507462686</v>
      </c>
      <c r="I36" s="65">
        <f t="shared" ref="I36" si="4">SUM(I24:I35)</f>
        <v>3</v>
      </c>
      <c r="J36" s="66">
        <v>50</v>
      </c>
    </row>
    <row r="37" spans="1:10" x14ac:dyDescent="0.2">
      <c r="A37" s="38" t="s">
        <v>28</v>
      </c>
      <c r="B37" s="46"/>
      <c r="C37" s="46"/>
      <c r="D37" s="48">
        <v>5</v>
      </c>
      <c r="E37" s="39"/>
      <c r="F37" s="48">
        <f>SUM(C37:E37)</f>
        <v>5</v>
      </c>
      <c r="G37" s="41">
        <f>3/F37*100</f>
        <v>60</v>
      </c>
      <c r="H37" s="41">
        <f>1/F37*100</f>
        <v>20</v>
      </c>
      <c r="I37" s="40"/>
      <c r="J37" s="41"/>
    </row>
    <row r="38" spans="1:10" x14ac:dyDescent="0.2">
      <c r="A38" s="38" t="s">
        <v>5</v>
      </c>
      <c r="B38" s="39"/>
      <c r="C38" s="48"/>
      <c r="D38" s="46"/>
      <c r="E38" s="46"/>
      <c r="F38" s="48"/>
      <c r="G38" s="41"/>
      <c r="H38" s="41"/>
      <c r="I38" s="40"/>
      <c r="J38" s="41"/>
    </row>
    <row r="39" spans="1:10" ht="13.15" customHeight="1" x14ac:dyDescent="0.2">
      <c r="A39" s="38" t="s">
        <v>21</v>
      </c>
      <c r="B39" s="39"/>
      <c r="C39" s="48">
        <v>10</v>
      </c>
      <c r="D39" s="46"/>
      <c r="E39" s="46"/>
      <c r="F39" s="48">
        <f>SUM(C39:E40)</f>
        <v>10</v>
      </c>
      <c r="G39" s="41">
        <f>2/F39*100</f>
        <v>20</v>
      </c>
      <c r="H39" s="41">
        <f>2/F39*100</f>
        <v>20</v>
      </c>
      <c r="I39" s="40"/>
      <c r="J39" s="41"/>
    </row>
    <row r="40" spans="1:10" x14ac:dyDescent="0.2">
      <c r="A40" s="45" t="s">
        <v>14</v>
      </c>
      <c r="B40" s="48"/>
      <c r="C40" s="48"/>
      <c r="D40" s="48"/>
      <c r="E40" s="39"/>
      <c r="F40" s="48"/>
      <c r="G40" s="41"/>
      <c r="H40" s="41"/>
      <c r="I40" s="40"/>
      <c r="J40" s="41"/>
    </row>
    <row r="41" spans="1:10" x14ac:dyDescent="0.2">
      <c r="A41" s="45" t="s">
        <v>42</v>
      </c>
      <c r="B41" s="48"/>
      <c r="C41" s="39"/>
      <c r="D41" s="46"/>
      <c r="E41" s="46"/>
      <c r="F41" s="48"/>
      <c r="G41" s="41"/>
      <c r="H41" s="41"/>
      <c r="I41" s="40"/>
      <c r="J41" s="41"/>
    </row>
    <row r="42" spans="1:10" x14ac:dyDescent="0.2">
      <c r="A42" s="38" t="s">
        <v>29</v>
      </c>
      <c r="B42" s="48"/>
      <c r="C42" s="48">
        <v>14</v>
      </c>
      <c r="D42" s="48">
        <v>6</v>
      </c>
      <c r="E42" s="48">
        <v>1</v>
      </c>
      <c r="F42" s="48">
        <f>SUM(C42:E42)</f>
        <v>21</v>
      </c>
      <c r="G42" s="41">
        <v>100</v>
      </c>
      <c r="H42" s="41">
        <f>1/F42*100</f>
        <v>4.7619047619047619</v>
      </c>
      <c r="I42" s="40"/>
      <c r="J42" s="41"/>
    </row>
    <row r="43" spans="1:10" x14ac:dyDescent="0.2">
      <c r="A43" s="38" t="s">
        <v>34</v>
      </c>
      <c r="B43" s="48"/>
      <c r="C43" s="48">
        <v>58</v>
      </c>
      <c r="D43" s="48">
        <v>55</v>
      </c>
      <c r="E43" s="48">
        <v>8</v>
      </c>
      <c r="F43" s="48">
        <f>SUM(C43:E43)</f>
        <v>121</v>
      </c>
      <c r="G43" s="41">
        <f>88/F43*100</f>
        <v>72.727272727272734</v>
      </c>
      <c r="H43" s="41">
        <f>17/F43*100</f>
        <v>14.049586776859504</v>
      </c>
      <c r="I43" s="40">
        <v>3</v>
      </c>
      <c r="J43" s="41">
        <f>1/I43*100</f>
        <v>33.333333333333329</v>
      </c>
    </row>
    <row r="44" spans="1:10" x14ac:dyDescent="0.2">
      <c r="A44" s="45" t="s">
        <v>13</v>
      </c>
      <c r="B44" s="48"/>
      <c r="C44" s="48">
        <v>16</v>
      </c>
      <c r="D44" s="48">
        <v>2</v>
      </c>
      <c r="E44" s="39">
        <v>1</v>
      </c>
      <c r="F44" s="48">
        <f>SUM(C44:E44)</f>
        <v>19</v>
      </c>
      <c r="G44" s="41">
        <f>3/F44*100</f>
        <v>15.789473684210526</v>
      </c>
      <c r="H44" s="41">
        <f>7/F44*100</f>
        <v>36.84210526315789</v>
      </c>
      <c r="I44" s="40"/>
      <c r="J44" s="41"/>
    </row>
    <row r="45" spans="1:10" x14ac:dyDescent="0.2">
      <c r="A45" s="64" t="s">
        <v>11</v>
      </c>
      <c r="B45" s="65">
        <f>SUM(B37:B44)</f>
        <v>0</v>
      </c>
      <c r="C45" s="65">
        <f>SUM(C37:C44)</f>
        <v>98</v>
      </c>
      <c r="D45" s="65">
        <f t="shared" ref="D45:F45" si="5">SUM(D37:D44)</f>
        <v>68</v>
      </c>
      <c r="E45" s="65">
        <f t="shared" si="5"/>
        <v>10</v>
      </c>
      <c r="F45" s="65">
        <f t="shared" si="5"/>
        <v>176</v>
      </c>
      <c r="G45" s="66">
        <f>116/F45*100</f>
        <v>65.909090909090907</v>
      </c>
      <c r="H45" s="66">
        <f>26/F45*100</f>
        <v>14.772727272727273</v>
      </c>
      <c r="I45" s="65">
        <f t="shared" ref="I45" si="6">SUM(I37:I44)</f>
        <v>3</v>
      </c>
      <c r="J45" s="67">
        <v>33.299999999999997</v>
      </c>
    </row>
    <row r="46" spans="1:10" x14ac:dyDescent="0.2">
      <c r="A46" s="68" t="s">
        <v>12</v>
      </c>
      <c r="B46" s="69">
        <v>67</v>
      </c>
      <c r="C46" s="69">
        <v>15</v>
      </c>
      <c r="D46" s="69">
        <v>18</v>
      </c>
      <c r="E46" s="69">
        <v>4</v>
      </c>
      <c r="F46" s="69">
        <f>SUM(B46:E46)</f>
        <v>104</v>
      </c>
      <c r="G46" s="70">
        <f>74/F46*100</f>
        <v>71.15384615384616</v>
      </c>
      <c r="H46" s="70">
        <f>7/F46*100</f>
        <v>6.7307692307692308</v>
      </c>
      <c r="I46" s="69">
        <v>2</v>
      </c>
      <c r="J46" s="71">
        <v>100</v>
      </c>
    </row>
    <row r="47" spans="1:10" x14ac:dyDescent="0.2">
      <c r="A47" s="49" t="s">
        <v>6</v>
      </c>
      <c r="B47" s="50">
        <f>+B23+B36+B45+B46</f>
        <v>902</v>
      </c>
      <c r="C47" s="50">
        <f>+C23+C36+C45+C46</f>
        <v>320</v>
      </c>
      <c r="D47" s="50">
        <f>+D23+D36+D45+D46</f>
        <v>531</v>
      </c>
      <c r="E47" s="50">
        <f>+E23+E36+E45+E46</f>
        <v>165</v>
      </c>
      <c r="F47" s="50">
        <f>+F23+F36+F45+F46</f>
        <v>1918</v>
      </c>
      <c r="G47" s="51">
        <f>1188/F47*100</f>
        <v>61.939520333680917</v>
      </c>
      <c r="H47" s="52">
        <f>175/F47*100</f>
        <v>9.1240875912408761</v>
      </c>
      <c r="I47" s="50">
        <f>+I23+I36+I45+I46</f>
        <v>108</v>
      </c>
      <c r="J47" s="53">
        <f>0.651376146788991*100</f>
        <v>65.137614678899098</v>
      </c>
    </row>
    <row r="48" spans="1:10" x14ac:dyDescent="0.2">
      <c r="A48" s="37"/>
      <c r="B48" s="61"/>
      <c r="C48" s="61"/>
      <c r="D48" s="61"/>
      <c r="E48" s="61"/>
      <c r="F48" s="61"/>
      <c r="G48" s="62"/>
      <c r="H48" s="63"/>
      <c r="I48" s="61"/>
      <c r="J48" s="62"/>
    </row>
    <row r="49" spans="1:10" x14ac:dyDescent="0.2">
      <c r="A49" s="54" t="s">
        <v>75</v>
      </c>
      <c r="J49" s="22" t="s">
        <v>85</v>
      </c>
    </row>
    <row r="50" spans="1:10" ht="39.75" customHeight="1" x14ac:dyDescent="0.2">
      <c r="A50" s="77" t="s">
        <v>51</v>
      </c>
      <c r="B50" s="77"/>
      <c r="C50" s="77"/>
      <c r="D50" s="77"/>
      <c r="E50" s="77"/>
      <c r="F50" s="77"/>
      <c r="G50" s="77"/>
      <c r="H50" s="77"/>
      <c r="I50" s="77"/>
      <c r="J50" s="77"/>
    </row>
    <row r="51" spans="1:10" ht="13.5" customHeight="1" x14ac:dyDescent="0.2">
      <c r="A51" s="55" t="s">
        <v>43</v>
      </c>
      <c r="B51" s="56"/>
      <c r="C51" s="56"/>
      <c r="D51" s="56"/>
      <c r="E51" s="56"/>
      <c r="F51" s="56"/>
      <c r="G51" s="56"/>
      <c r="H51" s="56"/>
      <c r="I51" s="56"/>
      <c r="J51" s="56"/>
    </row>
    <row r="52" spans="1:10" x14ac:dyDescent="0.2">
      <c r="A52" s="55" t="s">
        <v>41</v>
      </c>
      <c r="B52" s="24"/>
      <c r="C52" s="24"/>
      <c r="D52" s="24"/>
      <c r="E52" s="24"/>
      <c r="F52" s="24"/>
      <c r="G52" s="57"/>
      <c r="H52" s="24"/>
      <c r="I52" s="32"/>
      <c r="J52" s="24"/>
    </row>
    <row r="53" spans="1:10" ht="24" customHeight="1" x14ac:dyDescent="0.2">
      <c r="A53" s="26" t="s">
        <v>74</v>
      </c>
      <c r="F53" s="58"/>
    </row>
  </sheetData>
  <mergeCells count="2">
    <mergeCell ref="A50:J50"/>
    <mergeCell ref="I5:J5"/>
  </mergeCells>
  <phoneticPr fontId="2" type="noConversion"/>
  <pageMargins left="0" right="0" top="0.59055118110236227" bottom="0.6692913385826772" header="0.35433070866141736" footer="0.51181102362204722"/>
  <pageSetup paperSize="9" scale="6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323F8CFF-1786-43C8-AE58-37DDF4A75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8.03 Notice</vt:lpstr>
      <vt:lpstr>8.03 Graphique 1</vt:lpstr>
      <vt:lpstr>8.03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;8.10</dc:title>
  <dc:creator>DEPP-MENJ - Ministère de l'Education nationale et de la Jeunesse;Direction de l'évaluation de la prospective et de la performance</dc:creator>
  <cp:lastModifiedBy>Stéphanie MANAC-H</cp:lastModifiedBy>
  <cp:lastPrinted>2024-01-10T14:17:30Z</cp:lastPrinted>
  <dcterms:created xsi:type="dcterms:W3CDTF">2013-05-16T09:51:55Z</dcterms:created>
  <dcterms:modified xsi:type="dcterms:W3CDTF">2024-01-18T07:33:16Z</dcterms:modified>
  <cp:contentStatus>Publié</cp:contentStatus>
</cp:coreProperties>
</file>