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.susini\Nextcloud2\Stats corses\2023\RRS ACADEMIE\"/>
    </mc:Choice>
  </mc:AlternateContent>
  <bookViews>
    <workbookView xWindow="0" yWindow="0" windowWidth="25200" windowHeight="9225" tabRatio="551"/>
  </bookViews>
  <sheets>
    <sheet name="6.04 Notice" sheetId="16" r:id="rId1"/>
    <sheet name="6.04 Graphique 1" sheetId="12" r:id="rId2"/>
    <sheet name="6.04 Tableau 1" sheetId="13" r:id="rId3"/>
    <sheet name="6.04 Tableau 2" sheetId="18" r:id="rId4"/>
    <sheet name="6.04 Tableau 3" sheetId="17" r:id="rId5"/>
    <sheet name="6.04 Tableau 4" sheetId="15" r:id="rId6"/>
  </sheets>
  <calcPr calcId="162913" refMode="R1C1"/>
</workbook>
</file>

<file path=xl/calcChain.xml><?xml version="1.0" encoding="utf-8"?>
<calcChain xmlns="http://schemas.openxmlformats.org/spreadsheetml/2006/main">
  <c r="B7" i="15" l="1"/>
  <c r="E19" i="18" l="1"/>
  <c r="E18" i="18"/>
  <c r="E16" i="18"/>
  <c r="I11" i="13" l="1"/>
  <c r="G9" i="15" l="1"/>
  <c r="F9" i="15"/>
  <c r="E9" i="15"/>
  <c r="D9" i="15"/>
  <c r="C9" i="15"/>
  <c r="B9" i="15"/>
  <c r="F7" i="15"/>
  <c r="J11" i="12" l="1"/>
  <c r="J12" i="12" s="1"/>
  <c r="J10" i="12"/>
  <c r="J9" i="12"/>
  <c r="J8" i="12"/>
  <c r="J7" i="12"/>
  <c r="J6" i="12"/>
  <c r="F8" i="15" l="1"/>
  <c r="H8" i="15" s="1"/>
  <c r="G8" i="15"/>
  <c r="E8" i="15"/>
  <c r="D8" i="15"/>
  <c r="C8" i="15"/>
  <c r="B8" i="15"/>
  <c r="G7" i="15"/>
  <c r="D7" i="15"/>
  <c r="C7" i="15"/>
  <c r="F11" i="13" l="1"/>
  <c r="D11" i="13"/>
  <c r="C11" i="13"/>
  <c r="C8" i="13"/>
  <c r="B11" i="13"/>
  <c r="B8" i="13"/>
  <c r="G6" i="18" l="1"/>
  <c r="E13" i="18" l="1"/>
  <c r="E12" i="18"/>
  <c r="E11" i="18"/>
  <c r="E10" i="18"/>
  <c r="G7" i="18"/>
  <c r="F18" i="18" l="1"/>
  <c r="F10" i="18"/>
  <c r="C18" i="18"/>
  <c r="G14" i="18" l="1"/>
  <c r="E17" i="18"/>
  <c r="E8" i="18"/>
  <c r="E7" i="18"/>
  <c r="I9" i="15" l="1"/>
  <c r="G8" i="18"/>
  <c r="G9" i="18"/>
  <c r="C10" i="18"/>
  <c r="G11" i="18"/>
  <c r="G12" i="18"/>
  <c r="G13" i="18"/>
  <c r="G15" i="18"/>
  <c r="G16" i="18"/>
  <c r="B7" i="17"/>
  <c r="C7" i="17"/>
  <c r="D7" i="17"/>
  <c r="E7" i="17"/>
  <c r="F7" i="17"/>
  <c r="G7" i="17"/>
  <c r="H7" i="17"/>
  <c r="B8" i="17"/>
  <c r="C8" i="17"/>
  <c r="D8" i="17"/>
  <c r="E8" i="17"/>
  <c r="F8" i="17"/>
  <c r="G8" i="17"/>
  <c r="H8" i="17"/>
  <c r="G10" i="18" l="1"/>
  <c r="C19" i="18"/>
  <c r="G18" i="18"/>
  <c r="F19" i="18"/>
  <c r="D14" i="18" l="1"/>
  <c r="D6" i="18"/>
  <c r="D17" i="18"/>
  <c r="D18" i="18"/>
  <c r="D7" i="18"/>
  <c r="D9" i="18"/>
  <c r="D11" i="18"/>
  <c r="D15" i="18"/>
  <c r="D8" i="18"/>
  <c r="G19" i="18"/>
  <c r="D16" i="18"/>
  <c r="D12" i="18"/>
  <c r="D13" i="18"/>
  <c r="D10" i="18"/>
  <c r="I6" i="12" l="1"/>
  <c r="I7" i="12"/>
  <c r="I8" i="12"/>
  <c r="I9" i="12"/>
  <c r="I10" i="12"/>
  <c r="I11" i="12"/>
  <c r="H12" i="13" l="1"/>
  <c r="F12" i="13"/>
  <c r="G12" i="13"/>
  <c r="G11" i="13" s="1"/>
  <c r="B12" i="13"/>
  <c r="C12" i="13"/>
  <c r="D12" i="13"/>
  <c r="E12" i="13"/>
  <c r="I12" i="12"/>
  <c r="H11" i="12"/>
  <c r="H10" i="12"/>
  <c r="H9" i="12"/>
  <c r="H8" i="12"/>
  <c r="H7" i="12"/>
  <c r="H6" i="12"/>
  <c r="G11" i="12"/>
  <c r="G9" i="12"/>
  <c r="G10" i="12"/>
  <c r="G8" i="12"/>
  <c r="G12" i="12" s="1"/>
  <c r="G7" i="12"/>
  <c r="G6" i="12"/>
  <c r="F11" i="12"/>
  <c r="F10" i="12"/>
  <c r="F9" i="12"/>
  <c r="F8" i="12"/>
  <c r="F12" i="12" s="1"/>
  <c r="F7" i="12"/>
  <c r="F6" i="12"/>
  <c r="E8" i="12"/>
  <c r="E11" i="12"/>
  <c r="E10" i="12"/>
  <c r="E9" i="12"/>
  <c r="E7" i="12"/>
  <c r="E6" i="12"/>
  <c r="D11" i="12"/>
  <c r="D10" i="12"/>
  <c r="D9" i="12"/>
  <c r="D7" i="12"/>
  <c r="D8" i="12"/>
  <c r="D6" i="12"/>
  <c r="D12" i="12" s="1"/>
  <c r="C11" i="12"/>
  <c r="C10" i="12"/>
  <c r="C9" i="12"/>
  <c r="C8" i="12"/>
  <c r="C7" i="12"/>
  <c r="C6" i="12"/>
  <c r="C12" i="12" s="1"/>
  <c r="B11" i="12"/>
  <c r="B10" i="12"/>
  <c r="B9" i="12"/>
  <c r="B8" i="12"/>
  <c r="B7" i="12"/>
  <c r="B6" i="12"/>
  <c r="B12" i="12" s="1"/>
  <c r="E8" i="13" l="1"/>
  <c r="H11" i="13"/>
  <c r="H8" i="13"/>
  <c r="F8" i="13"/>
  <c r="E11" i="13"/>
  <c r="D8" i="13"/>
  <c r="G8" i="13"/>
  <c r="E12" i="12"/>
  <c r="H12" i="12"/>
  <c r="H9" i="15"/>
  <c r="H7" i="15" l="1"/>
  <c r="I12" i="13"/>
  <c r="I8" i="13" l="1"/>
</calcChain>
</file>

<file path=xl/sharedStrings.xml><?xml version="1.0" encoding="utf-8"?>
<sst xmlns="http://schemas.openxmlformats.org/spreadsheetml/2006/main" count="128" uniqueCount="112">
  <si>
    <t>Public</t>
  </si>
  <si>
    <t>Privé</t>
  </si>
  <si>
    <t>Public + Privé</t>
  </si>
  <si>
    <t>Total</t>
  </si>
  <si>
    <t>Autres</t>
  </si>
  <si>
    <t>Domaines de spécialité</t>
  </si>
  <si>
    <t>Production</t>
  </si>
  <si>
    <t>Services</t>
  </si>
  <si>
    <t>STMG</t>
  </si>
  <si>
    <t>STI2D, STD2A</t>
  </si>
  <si>
    <t>2016  2017</t>
  </si>
  <si>
    <t>2017  2018</t>
  </si>
  <si>
    <t>2018  2019</t>
  </si>
  <si>
    <t>Agriculteurs exploitants, artisans, commerçants et chefs d'entreprise</t>
  </si>
  <si>
    <t>Cadres et professions intellectuelles supérieures</t>
  </si>
  <si>
    <t>Professions Intermédiaires</t>
  </si>
  <si>
    <t>Employés</t>
  </si>
  <si>
    <t>Ouvriers</t>
  </si>
  <si>
    <t>Ensemble</t>
  </si>
  <si>
    <t>Autres origines (2)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</si>
  <si>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Brevet de technicien, université, IUT, vie active, étudiants étrangers et autres.</t>
    </r>
  </si>
  <si>
    <t>2019-2020</t>
  </si>
  <si>
    <t>2020-2021</t>
  </si>
  <si>
    <t>Progression annuelle des entrants (%)</t>
  </si>
  <si>
    <t>2021-2022</t>
  </si>
  <si>
    <t>Bac général</t>
  </si>
  <si>
    <t>Évolution annuelle en % (2)</t>
  </si>
  <si>
    <t>% par rapport à l'effectif total</t>
  </si>
  <si>
    <t>Évolution annuelle en % (1) (2)</t>
  </si>
  <si>
    <t>Bac pro</t>
  </si>
  <si>
    <t>Bac technologiques</t>
  </si>
  <si>
    <t>Source : systèmes d'information des ministères chargés de l'Éducation Nationale, de l'Agriculture et de la Mer. Traitement SIES-MESR.</t>
  </si>
  <si>
    <t>Sommaire</t>
  </si>
  <si>
    <t>Précisions</t>
  </si>
  <si>
    <r>
      <t>Population concernée</t>
    </r>
    <r>
      <rPr>
        <sz val="8"/>
        <color rgb="FF000000"/>
        <rFont val="Arial"/>
        <family val="2"/>
      </rPr>
      <t xml:space="preserve"> - Les étudiants sous statut scolaire des établissements publics, privés sous contrat et privés hors contrat, en France métropolitaine et dans les départements et régions d’outre-mer.</t>
    </r>
  </si>
  <si>
    <r>
      <t>Section de technicien supérieur (STS), brevet de technicien supérieur (BTS), classe de mise à niveau pour le BTS, classe passerelle, DN MADE</t>
    </r>
    <r>
      <rPr>
        <sz val="8"/>
        <color rgb="FF000000"/>
        <rFont val="Arial"/>
        <family val="2"/>
      </rPr>
      <t xml:space="preserve"> - Voir « Glossaire ».</t>
    </r>
  </si>
  <si>
    <t>Pour en savoir plus</t>
  </si>
  <si>
    <r>
      <t xml:space="preserve">- Note Flash </t>
    </r>
    <r>
      <rPr>
        <sz val="8"/>
        <color rgb="FF000000"/>
        <rFont val="Arial"/>
        <family val="2"/>
      </rPr>
      <t>du SIES : 20.02.</t>
    </r>
  </si>
  <si>
    <t>Source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</si>
  <si>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</si>
  <si>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</si>
  <si>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</si>
  <si>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</si>
  <si>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</si>
  <si>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</si>
  <si>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Source : systèmes d'information des ministères chargés de l'Éducation Nationale et de la Mer. Traitement SIES-MESR.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</si>
  <si>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Voir note 1 du tableau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</t>
    </r>
  </si>
  <si>
    <t>Retraités et inactifs *</t>
  </si>
  <si>
    <t>* sont pris en compte les Non renseignés</t>
  </si>
  <si>
    <t>Champ : Région Corse, établissements publics et privés sous ou hors contrat.</t>
  </si>
  <si>
    <t>2022-2023</t>
  </si>
  <si>
    <t>-5,5</t>
  </si>
  <si>
    <t>Source : systèmes d'information des ministères chargés de l'Éducation Nationale</t>
  </si>
  <si>
    <t xml:space="preserve">Actualisé le 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</si>
  <si>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</si>
  <si>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</si>
  <si>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</si>
  <si>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Champ : Région Corse établissements publics et privés sous ou hors contrat, étudiants sous statut scolaire.</t>
  </si>
  <si>
    <t xml:space="preserve"> Système d’information Scolarité et enquête n° 16 auprès des établissements privés hors contrat, traitement SIES-MESR.
</t>
  </si>
  <si>
    <t>Source :</t>
  </si>
  <si>
    <t>► Champ : Corse, établissements publics et privés sous ou hors contrat, étudiants sous statut scolaire.</t>
  </si>
  <si>
    <t>Spécialité des services</t>
  </si>
  <si>
    <t>Spécialité de la production</t>
  </si>
  <si>
    <t>RERS 6.04 Les sections de techniciens supérieurs et assimilés par spécialité</t>
  </si>
  <si>
    <t>Champ : Région Corse, établissements publics et privés sous ou hors contrat, étudiants sous statut scolaire.</t>
  </si>
  <si>
    <t>Ensemble des spécialités</t>
  </si>
  <si>
    <t>Total des spécialités des services</t>
  </si>
  <si>
    <t>Accueil, hôtellerie, tourisme</t>
  </si>
  <si>
    <t>Spécialités plurivalentes sanitaires et sociales</t>
  </si>
  <si>
    <t>Informatique, traitement de l'information, transmission des données</t>
  </si>
  <si>
    <t>Secrétariat, bureautique</t>
  </si>
  <si>
    <t>Comptabilité, gestion</t>
  </si>
  <si>
    <t>Commerce, vente</t>
  </si>
  <si>
    <t>Total des spécialités de la production</t>
  </si>
  <si>
    <t>Électricité, électronique</t>
  </si>
  <si>
    <t>Spécialités pluritechnologiques en mécanique-électricité</t>
  </si>
  <si>
    <t>Forêts, espaces verts, faune sauvage, pêche</t>
  </si>
  <si>
    <t>Technologies de commandes des transformations industrielles</t>
  </si>
  <si>
    <t>Évolution annuelle (%)</t>
  </si>
  <si>
    <t>Part des femmes (%)</t>
  </si>
  <si>
    <t>Répartition (%)</t>
  </si>
  <si>
    <t>Groupes de spécialités de formation</t>
  </si>
  <si>
    <t>Répartition des étudiants de 1ère année selon la catégorie socioprofessionnelle de leur parent référent</t>
  </si>
  <si>
    <t xml:space="preserve">[1] Évolution des effectifs d'étudiants en STS, classes de mise à niveau pour BTS, DN MADE, classes passerelles et DMA </t>
  </si>
  <si>
    <r>
      <t xml:space="preserve">[1] Évolution des effectifs d'étudiants inscrits en STS, classes de mise à niveau pour BTS, DN MADE, classes passerelles et DMA </t>
    </r>
    <r>
      <rPr>
        <sz val="9"/>
        <rFont val="Arial"/>
        <family val="2"/>
      </rPr>
      <t>(1)</t>
    </r>
  </si>
  <si>
    <t>[3] Effectifs des étudiants inscrits en STS et assimilés selon la catégorie de spécialité, entre 2016 et 2023</t>
  </si>
  <si>
    <t>RERS 2023</t>
  </si>
  <si>
    <t>2023-2024</t>
  </si>
  <si>
    <t>[2] Les étudiants inscrits en STS, classes de mise à niveau pour BTS, DN MADE, classes passerelles et DMA par spécialité de formation en 2023-2024</t>
  </si>
  <si>
    <t>Effectifs   2023-2024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</si>
  <si>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74,1% des étudiants en STS, classes de mise à niveau pour BTS, DMA, classe passerelle ou DN MADE sont inscrits dans le secteur des services. Les femmes représentent 51,6 % des étudiants formés dans ce secteur.</t>
    </r>
  </si>
  <si>
    <t>-33,6</t>
  </si>
  <si>
    <t>-12</t>
  </si>
  <si>
    <t>-31,2</t>
  </si>
  <si>
    <t>-13,2</t>
  </si>
  <si>
    <t>-7,4</t>
  </si>
  <si>
    <t>-5,3</t>
  </si>
  <si>
    <t>-53,6</t>
  </si>
  <si>
    <t>-3,8</t>
  </si>
  <si>
    <t>Effectif d'entrants 2023-2024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</si>
  <si>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en 2023, 28,6 % des étudiants entrant en STS dans le domaine des services ont obtenu un baccalauréat professionnel. Entre les rentrées 2022 et 2023, l'effectif des entrants en STS du domaine des services a augmenté de 11,3 %.</t>
    </r>
  </si>
  <si>
    <t>Systèmes d'information des ministères chargés de l'Éducation nationale,  et de la Mer. Traitement SIES-MESRI.</t>
  </si>
  <si>
    <t>Source : systèmes d'information des ministères chargés de l'Éducation Nationale,  et de la Mer. Traitement SIES-MESR.</t>
  </si>
  <si>
    <t>Métiers de la sécurité</t>
  </si>
  <si>
    <t>6.04 Les sections de techniciens supérieurs et assimilés</t>
  </si>
  <si>
    <t>RERS 6.04 Les sections de techniciens supérieurs et assimilés</t>
  </si>
  <si>
    <t>DPSA, RSC 2023</t>
  </si>
  <si>
    <t>Effectifs   2021-2022</t>
  </si>
  <si>
    <t xml:space="preserve">DEPP, Système d’information Scolarité et enquête n° 16 traitement SIES-MESR.
</t>
  </si>
  <si>
    <t xml:space="preserve">[4] Origine scolaire des nouveaux entrants en première année de STS, classes de mise à niveau pour BTS, DN MADE, classes passerelles et DMA en 2023-2024 </t>
  </si>
  <si>
    <r>
      <t xml:space="preserve">[4] Origine scolaire des nouveaux entrants en première année de STS, classes de mise à niveau pour BTS, DN MADE, classes passerelles et DMA en 2023-2024, </t>
    </r>
    <r>
      <rPr>
        <sz val="9"/>
        <rFont val="Arial"/>
        <family val="2"/>
      </rPr>
      <t>en % (1)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</si>
  <si>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à la rentrée 2023, 275 étudiants sont inscrits en STS (et assimilés) dans un établissement public. Cet effectif est en hausse de 7,9 % par rapport à celui de 2022. Il représente 41,2 % de l'effectif total des STS (et assimilés) de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</si>
</sst>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€_-;\-* #,##0.00\ _€_-;_-* &quot;-&quot;??\ _€_-;_-@_-"/>
    <numFmt numFmtId="165" formatCode="0.0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%"/>
    <numFmt numFmtId="172" formatCode="[$-F800]dddd\,\ mmmm\ dd\,\ yyyy"/>
    <numFmt numFmtId="173" formatCode="_-* #,##0\ _€_-;\-* #,##0\ _€_-;_-* &quot;-&quot;??\ _€_-;_-@_-"/>
  </numFmts>
  <fonts count="5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FA7D0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  <font>
      <b/>
      <sz val="15"/>
      <color theme="3"/>
      <name val="Calibri"/>
      <family val="2"/>
      <scheme val="minor"/>
    </font>
    <font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rgb="FFF2F2F2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12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hair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indexed="9"/>
      </left>
      <right style="thin">
        <color indexed="9"/>
      </right>
      <top/>
      <bottom style="medium">
        <color rgb="FF0000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rgb="FF0000FF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rgb="FF0070C0"/>
      </bottom>
      <diagonal/>
    </border>
  </borders>
  <cellStyleXfs count="8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3" borderId="0" applyNumberFormat="0" applyBorder="0" applyAlignment="0" applyProtection="0"/>
    <xf numFmtId="0" fontId="3" fillId="16" borderId="1"/>
    <xf numFmtId="0" fontId="20" fillId="17" borderId="2" applyNumberFormat="0" applyAlignment="0" applyProtection="0"/>
    <xf numFmtId="0" fontId="3" fillId="0" borderId="3"/>
    <xf numFmtId="0" fontId="16" fillId="18" borderId="5" applyNumberFormat="0" applyAlignment="0" applyProtection="0"/>
    <xf numFmtId="0" fontId="21" fillId="19" borderId="0">
      <alignment horizontal="center"/>
    </xf>
    <xf numFmtId="0" fontId="22" fillId="19" borderId="0">
      <alignment horizontal="center" vertical="center"/>
    </xf>
    <xf numFmtId="0" fontId="1" fillId="20" borderId="0">
      <alignment horizontal="center" wrapText="1"/>
    </xf>
    <xf numFmtId="0" fontId="6" fillId="19" borderId="0">
      <alignment horizontal="center"/>
    </xf>
    <xf numFmtId="167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4" fillId="21" borderId="1" applyBorder="0">
      <protection locked="0"/>
    </xf>
    <xf numFmtId="0" fontId="25" fillId="0" borderId="0" applyNumberFormat="0" applyFill="0" applyBorder="0" applyAlignment="0" applyProtection="0"/>
    <xf numFmtId="0" fontId="14" fillId="19" borderId="3">
      <alignment horizontal="left"/>
    </xf>
    <xf numFmtId="0" fontId="26" fillId="19" borderId="0">
      <alignment horizontal="left"/>
    </xf>
    <xf numFmtId="0" fontId="27" fillId="4" borderId="0" applyNumberFormat="0" applyBorder="0" applyAlignment="0" applyProtection="0"/>
    <xf numFmtId="0" fontId="28" fillId="22" borderId="0">
      <alignment horizontal="right" vertical="top" textRotation="90" wrapText="1"/>
    </xf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2" fillId="20" borderId="0">
      <alignment horizontal="center"/>
    </xf>
    <xf numFmtId="0" fontId="3" fillId="19" borderId="9">
      <alignment wrapText="1"/>
    </xf>
    <xf numFmtId="0" fontId="34" fillId="19" borderId="10"/>
    <xf numFmtId="0" fontId="34" fillId="19" borderId="11"/>
    <xf numFmtId="0" fontId="3" fillId="19" borderId="12">
      <alignment horizontal="center" wrapText="1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1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0" borderId="0"/>
    <xf numFmtId="0" fontId="44" fillId="0" borderId="0"/>
    <xf numFmtId="0" fontId="1" fillId="0" borderId="0"/>
    <xf numFmtId="0" fontId="17" fillId="0" borderId="0"/>
    <xf numFmtId="0" fontId="1" fillId="0" borderId="0"/>
    <xf numFmtId="0" fontId="44" fillId="0" borderId="0"/>
    <xf numFmtId="0" fontId="17" fillId="0" borderId="0"/>
    <xf numFmtId="0" fontId="1" fillId="0" borderId="0"/>
    <xf numFmtId="0" fontId="8" fillId="0" borderId="0"/>
    <xf numFmtId="0" fontId="38" fillId="1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3" fillId="19" borderId="3"/>
    <xf numFmtId="0" fontId="22" fillId="19" borderId="0">
      <alignment horizontal="right"/>
    </xf>
    <xf numFmtId="0" fontId="39" fillId="24" borderId="0">
      <alignment horizontal="center"/>
    </xf>
    <xf numFmtId="0" fontId="40" fillId="20" borderId="0"/>
    <xf numFmtId="0" fontId="41" fillId="22" borderId="14">
      <alignment horizontal="left" vertical="top" wrapText="1"/>
    </xf>
    <xf numFmtId="0" fontId="41" fillId="22" borderId="15">
      <alignment horizontal="left" vertical="top"/>
    </xf>
    <xf numFmtId="37" fontId="42" fillId="0" borderId="0"/>
    <xf numFmtId="0" fontId="21" fillId="19" borderId="0">
      <alignment horizontal="center"/>
    </xf>
    <xf numFmtId="0" fontId="15" fillId="0" borderId="0" applyNumberFormat="0" applyFill="0" applyBorder="0" applyAlignment="0" applyProtection="0"/>
    <xf numFmtId="0" fontId="10" fillId="19" borderId="0"/>
    <xf numFmtId="0" fontId="43" fillId="0" borderId="0" applyNumberFormat="0" applyFill="0" applyBorder="0" applyAlignment="0" applyProtection="0"/>
    <xf numFmtId="0" fontId="47" fillId="25" borderId="24" applyNumberFormat="0" applyAlignment="0" applyProtection="0"/>
    <xf numFmtId="9" fontId="48" fillId="0" borderId="0" applyFont="0" applyFill="0" applyBorder="0" applyAlignment="0" applyProtection="0"/>
    <xf numFmtId="0" fontId="55" fillId="0" borderId="26" applyNumberFormat="0" applyFill="0" applyAlignment="0" applyProtection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9" fillId="0" borderId="0" xfId="63" applyFont="1" applyFill="1" applyAlignment="1">
      <alignment vertical="center"/>
    </xf>
    <xf numFmtId="0" fontId="3" fillId="0" borderId="0" xfId="63" applyFont="1" applyFill="1" applyBorder="1" applyAlignment="1">
      <alignment horizontal="right" vertical="center"/>
    </xf>
    <xf numFmtId="0" fontId="3" fillId="0" borderId="0" xfId="63" applyFont="1" applyFill="1" applyAlignment="1">
      <alignment vertical="center"/>
    </xf>
    <xf numFmtId="0" fontId="9" fillId="0" borderId="16" xfId="63" applyFont="1" applyFill="1" applyBorder="1" applyAlignment="1">
      <alignment vertical="center"/>
    </xf>
    <xf numFmtId="3" fontId="3" fillId="0" borderId="0" xfId="63" applyNumberFormat="1" applyFont="1" applyFill="1" applyBorder="1" applyAlignment="1">
      <alignment vertical="center"/>
    </xf>
    <xf numFmtId="165" fontId="3" fillId="0" borderId="0" xfId="63" applyNumberFormat="1" applyFont="1" applyFill="1" applyBorder="1" applyAlignment="1">
      <alignment vertical="center"/>
    </xf>
    <xf numFmtId="0" fontId="3" fillId="0" borderId="0" xfId="63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</xf>
    <xf numFmtId="165" fontId="3" fillId="0" borderId="17" xfId="63" quotePrefix="1" applyNumberFormat="1" applyFont="1" applyFill="1" applyBorder="1" applyAlignment="1">
      <alignment horizontal="right" vertical="center"/>
    </xf>
    <xf numFmtId="0" fontId="3" fillId="0" borderId="0" xfId="63" applyFont="1" applyFill="1" applyBorder="1" applyAlignment="1">
      <alignment vertical="center" wrapText="1"/>
    </xf>
    <xf numFmtId="3" fontId="3" fillId="0" borderId="17" xfId="63" applyNumberFormat="1" applyFont="1" applyFill="1" applyBorder="1" applyAlignment="1">
      <alignment vertical="center" wrapText="1"/>
    </xf>
    <xf numFmtId="0" fontId="3" fillId="0" borderId="0" xfId="64" quotePrefix="1" applyFont="1" applyFill="1" applyBorder="1" applyAlignment="1">
      <alignment vertical="center"/>
    </xf>
    <xf numFmtId="0" fontId="7" fillId="0" borderId="0" xfId="60" applyFont="1"/>
    <xf numFmtId="0" fontId="1" fillId="0" borderId="0" xfId="58"/>
    <xf numFmtId="172" fontId="7" fillId="0" borderId="0" xfId="58" applyNumberFormat="1" applyFont="1" applyAlignment="1">
      <alignment horizontal="right" wrapText="1"/>
    </xf>
    <xf numFmtId="0" fontId="49" fillId="0" borderId="0" xfId="58" applyFont="1" applyAlignment="1">
      <alignment vertical="center" wrapText="1"/>
    </xf>
    <xf numFmtId="0" fontId="7" fillId="0" borderId="0" xfId="58" applyFont="1"/>
    <xf numFmtId="0" fontId="1" fillId="0" borderId="0" xfId="58" applyFont="1"/>
    <xf numFmtId="0" fontId="50" fillId="0" borderId="0" xfId="58" applyFont="1" applyFill="1" applyAlignment="1">
      <alignment vertical="center" wrapText="1"/>
    </xf>
    <xf numFmtId="0" fontId="4" fillId="0" borderId="0" xfId="58" applyFont="1" applyAlignment="1">
      <alignment wrapText="1"/>
    </xf>
    <xf numFmtId="0" fontId="50" fillId="0" borderId="0" xfId="58" applyFont="1" applyFill="1" applyAlignment="1">
      <alignment vertical="center"/>
    </xf>
    <xf numFmtId="0" fontId="51" fillId="0" borderId="0" xfId="58" applyFont="1" applyAlignment="1">
      <alignment horizontal="justify" vertical="center" wrapText="1"/>
    </xf>
    <xf numFmtId="0" fontId="50" fillId="0" borderId="0" xfId="58" applyFont="1" applyAlignment="1">
      <alignment horizontal="justify" vertical="center" wrapText="1"/>
    </xf>
    <xf numFmtId="0" fontId="53" fillId="0" borderId="0" xfId="58" applyFont="1" applyAlignment="1">
      <alignment vertical="center" wrapText="1"/>
    </xf>
    <xf numFmtId="0" fontId="50" fillId="0" borderId="0" xfId="58" applyFont="1" applyAlignment="1">
      <alignment vertical="center" wrapText="1"/>
    </xf>
    <xf numFmtId="0" fontId="54" fillId="0" borderId="0" xfId="58" applyFont="1" applyAlignment="1">
      <alignment vertical="center" wrapText="1"/>
    </xf>
    <xf numFmtId="0" fontId="3" fillId="0" borderId="0" xfId="58" applyFont="1" applyAlignment="1">
      <alignment wrapText="1"/>
    </xf>
    <xf numFmtId="0" fontId="3" fillId="0" borderId="0" xfId="58" applyFont="1"/>
    <xf numFmtId="0" fontId="4" fillId="0" borderId="0" xfId="63" applyFont="1" applyFill="1" applyAlignment="1">
      <alignment horizontal="left" vertical="center"/>
    </xf>
    <xf numFmtId="0" fontId="3" fillId="0" borderId="0" xfId="63" applyFont="1" applyFill="1" applyAlignment="1">
      <alignment horizontal="left" vertical="center"/>
    </xf>
    <xf numFmtId="0" fontId="3" fillId="0" borderId="0" xfId="63" applyFont="1" applyFill="1" applyBorder="1" applyAlignment="1">
      <alignment horizontal="left" vertical="center" wrapText="1"/>
    </xf>
    <xf numFmtId="165" fontId="3" fillId="0" borderId="17" xfId="63" applyNumberFormat="1" applyFont="1" applyFill="1" applyBorder="1" applyAlignment="1">
      <alignment vertical="center" wrapText="1"/>
    </xf>
    <xf numFmtId="165" fontId="3" fillId="0" borderId="17" xfId="63" applyNumberFormat="1" applyFont="1" applyFill="1" applyBorder="1" applyAlignment="1">
      <alignment vertical="center"/>
    </xf>
    <xf numFmtId="165" fontId="3" fillId="0" borderId="17" xfId="63" quotePrefix="1" applyNumberFormat="1" applyFont="1" applyFill="1" applyBorder="1" applyAlignment="1">
      <alignment horizontal="right" vertical="center" wrapText="1"/>
    </xf>
    <xf numFmtId="0" fontId="7" fillId="0" borderId="0" xfId="63" applyFont="1" applyFill="1" applyAlignment="1">
      <alignment vertical="center"/>
    </xf>
    <xf numFmtId="0" fontId="1" fillId="0" borderId="0" xfId="63" applyFont="1" applyFill="1" applyAlignment="1">
      <alignment vertical="center"/>
    </xf>
    <xf numFmtId="0" fontId="10" fillId="0" borderId="19" xfId="63" applyFont="1" applyFill="1" applyBorder="1" applyAlignment="1">
      <alignment horizontal="right" vertical="top" wrapText="1"/>
    </xf>
    <xf numFmtId="0" fontId="10" fillId="0" borderId="0" xfId="63" applyFont="1" applyFill="1" applyBorder="1" applyAlignment="1">
      <alignment horizontal="left" vertical="center" wrapText="1"/>
    </xf>
    <xf numFmtId="165" fontId="10" fillId="0" borderId="17" xfId="63" applyNumberFormat="1" applyFont="1" applyFill="1" applyBorder="1" applyAlignment="1">
      <alignment vertical="center" wrapText="1"/>
    </xf>
    <xf numFmtId="3" fontId="10" fillId="0" borderId="17" xfId="63" applyNumberFormat="1" applyFont="1" applyFill="1" applyBorder="1" applyAlignment="1">
      <alignment vertical="center" wrapText="1"/>
    </xf>
    <xf numFmtId="0" fontId="1" fillId="0" borderId="0" xfId="63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5" fontId="3" fillId="0" borderId="23" xfId="63" applyNumberFormat="1" applyFont="1" applyFill="1" applyBorder="1" applyAlignment="1">
      <alignment horizontal="right" vertical="center" wrapText="1"/>
    </xf>
    <xf numFmtId="165" fontId="3" fillId="0" borderId="23" xfId="63" quotePrefix="1" applyNumberFormat="1" applyFont="1" applyFill="1" applyBorder="1" applyAlignment="1">
      <alignment horizontal="right" vertical="center" wrapText="1"/>
    </xf>
    <xf numFmtId="0" fontId="4" fillId="0" borderId="0" xfId="63" applyFont="1" applyFill="1" applyAlignment="1">
      <alignment vertical="center"/>
    </xf>
    <xf numFmtId="0" fontId="1" fillId="0" borderId="0" xfId="63" applyFont="1" applyFill="1" applyAlignment="1">
      <alignment horizontal="left" vertical="center" wrapText="1"/>
    </xf>
    <xf numFmtId="165" fontId="3" fillId="0" borderId="17" xfId="63" applyNumberFormat="1" applyFont="1" applyFill="1" applyBorder="1" applyAlignment="1">
      <alignment horizontal="right" vertical="center"/>
    </xf>
    <xf numFmtId="171" fontId="1" fillId="0" borderId="0" xfId="82" applyNumberFormat="1" applyFont="1" applyFill="1" applyAlignment="1">
      <alignment vertical="center"/>
    </xf>
    <xf numFmtId="0" fontId="3" fillId="0" borderId="22" xfId="63" applyFont="1" applyFill="1" applyBorder="1" applyAlignment="1">
      <alignment vertical="center" wrapText="1"/>
    </xf>
    <xf numFmtId="0" fontId="10" fillId="0" borderId="25" xfId="64" applyFont="1" applyFill="1" applyBorder="1" applyAlignment="1">
      <alignment vertical="center"/>
    </xf>
    <xf numFmtId="0" fontId="10" fillId="0" borderId="17" xfId="63" applyFont="1" applyFill="1" applyBorder="1" applyAlignment="1">
      <alignment horizontal="right" vertical="center" wrapText="1"/>
    </xf>
    <xf numFmtId="0" fontId="10" fillId="0" borderId="0" xfId="63" applyFont="1" applyFill="1" applyBorder="1" applyAlignment="1">
      <alignment vertical="center" wrapText="1"/>
    </xf>
    <xf numFmtId="3" fontId="1" fillId="0" borderId="0" xfId="63" applyNumberFormat="1" applyFont="1" applyFill="1" applyAlignment="1">
      <alignment vertical="center"/>
    </xf>
    <xf numFmtId="14" fontId="7" fillId="0" borderId="0" xfId="58" applyNumberFormat="1" applyFont="1" applyAlignment="1">
      <alignment horizontal="right" wrapText="1"/>
    </xf>
    <xf numFmtId="0" fontId="55" fillId="0" borderId="26" xfId="83"/>
    <xf numFmtId="0" fontId="1" fillId="0" borderId="0" xfId="60" applyFont="1" applyAlignment="1">
      <alignment horizontal="left" vertical="center" wrapText="1"/>
    </xf>
    <xf numFmtId="0" fontId="46" fillId="0" borderId="0" xfId="5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166" fontId="1" fillId="0" borderId="20" xfId="0" applyNumberFormat="1" applyFont="1" applyFill="1" applyBorder="1" applyAlignment="1">
      <alignment vertical="center" wrapText="1"/>
    </xf>
    <xf numFmtId="166" fontId="1" fillId="0" borderId="20" xfId="0" applyNumberFormat="1" applyFont="1" applyFill="1" applyBorder="1" applyAlignment="1">
      <alignment vertical="center"/>
    </xf>
    <xf numFmtId="166" fontId="2" fillId="0" borderId="2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3" fontId="0" fillId="0" borderId="0" xfId="0" applyNumberFormat="1"/>
    <xf numFmtId="0" fontId="3" fillId="0" borderId="0" xfId="0" applyFont="1"/>
    <xf numFmtId="0" fontId="10" fillId="0" borderId="0" xfId="0" applyFont="1" applyAlignment="1">
      <alignment vertical="center"/>
    </xf>
    <xf numFmtId="0" fontId="3" fillId="0" borderId="0" xfId="0" applyFont="1" applyFill="1" applyAlignment="1">
      <alignment wrapText="1"/>
    </xf>
    <xf numFmtId="3" fontId="3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/>
    <xf numFmtId="0" fontId="10" fillId="0" borderId="11" xfId="0" applyFont="1" applyFill="1" applyBorder="1"/>
    <xf numFmtId="0" fontId="10" fillId="0" borderId="11" xfId="0" applyFont="1" applyFill="1" applyBorder="1" applyAlignment="1">
      <alignment horizontal="left" vertical="center" wrapText="1"/>
    </xf>
    <xf numFmtId="0" fontId="56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10" fillId="0" borderId="0" xfId="0" applyNumberFormat="1" applyFont="1" applyFill="1" applyBorder="1" applyAlignment="1">
      <alignment horizontal="right" vertical="center" wrapText="1"/>
    </xf>
    <xf numFmtId="173" fontId="10" fillId="0" borderId="0" xfId="84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10" fillId="0" borderId="17" xfId="0" applyNumberFormat="1" applyFont="1" applyFill="1" applyBorder="1" applyAlignment="1">
      <alignment horizontal="right" vertical="center" wrapText="1"/>
    </xf>
    <xf numFmtId="173" fontId="10" fillId="0" borderId="17" xfId="84" applyNumberFormat="1" applyFont="1" applyFill="1" applyBorder="1" applyAlignment="1">
      <alignment horizontal="right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5" fontId="6" fillId="0" borderId="27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166" fontId="6" fillId="0" borderId="27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65" fontId="3" fillId="0" borderId="27" xfId="0" applyNumberFormat="1" applyFont="1" applyFill="1" applyBorder="1" applyAlignment="1">
      <alignment vertical="center"/>
    </xf>
    <xf numFmtId="173" fontId="3" fillId="0" borderId="27" xfId="84" applyNumberFormat="1" applyFont="1" applyFill="1" applyBorder="1" applyAlignment="1">
      <alignment horizontal="right" vertical="center" wrapText="1"/>
    </xf>
    <xf numFmtId="166" fontId="3" fillId="0" borderId="2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27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3" fontId="10" fillId="0" borderId="29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0" fillId="0" borderId="0" xfId="63" applyFont="1" applyFill="1" applyAlignment="1">
      <alignment vertical="center"/>
    </xf>
    <xf numFmtId="165" fontId="3" fillId="0" borderId="0" xfId="63" applyNumberFormat="1" applyFont="1" applyFill="1" applyAlignment="1">
      <alignment vertical="center"/>
    </xf>
    <xf numFmtId="1" fontId="10" fillId="0" borderId="0" xfId="63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66" fontId="3" fillId="0" borderId="0" xfId="63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6" fontId="2" fillId="0" borderId="31" xfId="0" applyNumberFormat="1" applyFont="1" applyFill="1" applyBorder="1" applyAlignment="1">
      <alignment vertical="center" wrapText="1"/>
    </xf>
    <xf numFmtId="166" fontId="1" fillId="0" borderId="0" xfId="63" applyNumberFormat="1" applyFont="1" applyFill="1" applyAlignment="1">
      <alignment vertical="center"/>
    </xf>
    <xf numFmtId="0" fontId="10" fillId="0" borderId="25" xfId="64" applyFont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quotePrefix="1" applyFont="1" applyFill="1" applyAlignment="1">
      <alignment vertical="center" wrapText="1"/>
    </xf>
    <xf numFmtId="0" fontId="5" fillId="0" borderId="0" xfId="63" applyFont="1" applyFill="1" applyAlignment="1">
      <alignment vertical="center"/>
    </xf>
    <xf numFmtId="0" fontId="11" fillId="0" borderId="0" xfId="63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21" xfId="63" applyFont="1" applyFill="1" applyBorder="1" applyAlignment="1">
      <alignment horizontal="right" vertical="center" wrapText="1"/>
    </xf>
    <xf numFmtId="0" fontId="10" fillId="0" borderId="17" xfId="63" applyFont="1" applyFill="1" applyBorder="1" applyAlignment="1">
      <alignment horizontal="right" vertical="top" wrapText="1"/>
    </xf>
    <xf numFmtId="165" fontId="3" fillId="0" borderId="0" xfId="63" quotePrefix="1" applyNumberFormat="1" applyFont="1" applyFill="1" applyAlignment="1">
      <alignment horizontal="left" vertical="center" wrapText="1"/>
    </xf>
    <xf numFmtId="0" fontId="3" fillId="0" borderId="0" xfId="63" applyFont="1" applyFill="1" applyAlignment="1">
      <alignment horizontal="left" vertical="center" wrapText="1"/>
    </xf>
    <xf numFmtId="0" fontId="11" fillId="0" borderId="0" xfId="63" applyFont="1" applyFill="1" applyAlignment="1">
      <alignment horizontal="left" vertical="center" wrapText="1"/>
    </xf>
    <xf numFmtId="0" fontId="10" fillId="0" borderId="18" xfId="63" applyFont="1" applyFill="1" applyBorder="1" applyAlignment="1">
      <alignment horizontal="left" vertical="top" wrapText="1"/>
    </xf>
    <xf numFmtId="0" fontId="10" fillId="0" borderId="17" xfId="63" applyFont="1" applyFill="1" applyBorder="1" applyAlignment="1">
      <alignment horizontal="center" vertical="center" wrapText="1"/>
    </xf>
    <xf numFmtId="0" fontId="10" fillId="0" borderId="21" xfId="63" applyFont="1" applyFill="1" applyBorder="1" applyAlignment="1">
      <alignment horizontal="right" vertical="top" wrapText="1"/>
    </xf>
    <xf numFmtId="0" fontId="4" fillId="0" borderId="0" xfId="63" applyFont="1" applyFill="1" applyAlignment="1">
      <alignment horizontal="left" vertic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" xfId="81" builtinId="22" customBuiltin="1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Milliers 2" xfId="54"/>
    <cellStyle name="Milliers 3" xfId="8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_Tableaux" xfId="64"/>
    <cellStyle name="Output" xfId="65"/>
    <cellStyle name="Percent 2" xfId="66"/>
    <cellStyle name="Percent_1 SubOverv.USd" xfId="67"/>
    <cellStyle name="Pourcentage" xfId="82" builtinId="5"/>
    <cellStyle name="Pourcentage 2" xfId="68"/>
    <cellStyle name="Prozent_SubCatperStud" xfId="69"/>
    <cellStyle name="row" xfId="70"/>
    <cellStyle name="RowCodes" xfId="71"/>
    <cellStyle name="Row-Col Headings" xfId="72"/>
    <cellStyle name="RowTitles_CENTRAL_GOVT" xfId="73"/>
    <cellStyle name="RowTitles-Col2" xfId="74"/>
    <cellStyle name="RowTitles-Detail" xfId="75"/>
    <cellStyle name="Standard_Info" xfId="76"/>
    <cellStyle name="temp" xfId="77"/>
    <cellStyle name="Title" xfId="78"/>
    <cellStyle name="title1" xfId="79"/>
    <cellStyle name="Titre 1" xfId="83" builtinId="16"/>
    <cellStyle name="Warning Text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4793420065099537E-2"/>
          <c:y val="6.7356050159524547E-2"/>
          <c:w val="0.94663458493254249"/>
          <c:h val="0.80583141264025071"/>
        </c:manualLayout>
      </c:layout>
      <c:lineChart>
        <c:grouping val="standard"/>
        <c:varyColors val="0"/>
        <c:ser>
          <c:idx val="0"/>
          <c:order val="0"/>
          <c:tx>
            <c:strRef>
              <c:f>'6.04 Graphique 1'!$A$6</c:f>
              <c:strCache>
                <c:ptCount val="1"/>
                <c:pt idx="0">
                  <c:v>Agriculteurs exploitants, artisans, commerçants et chefs d'entreprise</c:v>
                </c:pt>
              </c:strCache>
            </c:strRef>
          </c:tx>
          <c:spPr>
            <a:ln>
              <a:solidFill>
                <a:srgbClr val="00C8FF"/>
              </a:solidFill>
              <a:prstDash val="sysDot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0.18181818181818182"/>
                  <c:y val="1.33667502088553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11,9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10-4EE8-8A9A-87ADCF9612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'6.04 Graphique 1'!$B$5:$J$5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'6.04 Graphique 1'!$B$6:$J$6</c:f>
              <c:numCache>
                <c:formatCode>#\ ##0.0</c:formatCode>
                <c:ptCount val="9"/>
                <c:pt idx="0">
                  <c:v>16.929133858267718</c:v>
                </c:pt>
                <c:pt idx="1">
                  <c:v>14.453125</c:v>
                </c:pt>
                <c:pt idx="2">
                  <c:v>12.217194570135746</c:v>
                </c:pt>
                <c:pt idx="3">
                  <c:v>15.857605177993527</c:v>
                </c:pt>
                <c:pt idx="4">
                  <c:v>15.523465703971121</c:v>
                </c:pt>
                <c:pt idx="5">
                  <c:v>17.434210526315788</c:v>
                </c:pt>
                <c:pt idx="6">
                  <c:v>17.803030303030305</c:v>
                </c:pt>
                <c:pt idx="7">
                  <c:v>21.259842519685041</c:v>
                </c:pt>
                <c:pt idx="8" formatCode="0.0">
                  <c:v>6.8493150684931505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0-4EE8-8A9A-87ADCF9612CD}"/>
            </c:ext>
          </c:extLst>
        </c:ser>
        <c:ser>
          <c:idx val="1"/>
          <c:order val="1"/>
          <c:tx>
            <c:strRef>
              <c:f>'6.04 Graphique 1'!$A$7</c:f>
              <c:strCache>
                <c:ptCount val="1"/>
                <c:pt idx="0">
                  <c:v>Cadres et professions intellectuelles supérieures</c:v>
                </c:pt>
              </c:strCache>
            </c:strRef>
          </c:tx>
          <c:spPr>
            <a:ln>
              <a:solidFill>
                <a:srgbClr val="0C62E8"/>
              </a:solidFill>
              <a:prstDash val="sysDash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0.18040873854827344"/>
                  <c:y val="-6.349232661706766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16,4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10-4EE8-8A9A-87ADCF9612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'6.04 Graphique 1'!$B$5:$J$5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'6.04 Graphique 1'!$B$7:$J$7</c:f>
              <c:numCache>
                <c:formatCode>#\ ##0.0</c:formatCode>
                <c:ptCount val="9"/>
                <c:pt idx="0">
                  <c:v>9.0551181102362204</c:v>
                </c:pt>
                <c:pt idx="1">
                  <c:v>17.96875</c:v>
                </c:pt>
                <c:pt idx="2">
                  <c:v>10.859728506787331</c:v>
                </c:pt>
                <c:pt idx="3">
                  <c:v>13.592233009708737</c:v>
                </c:pt>
                <c:pt idx="4">
                  <c:v>14.079422382671481</c:v>
                </c:pt>
                <c:pt idx="5">
                  <c:v>11.842105263157894</c:v>
                </c:pt>
                <c:pt idx="6">
                  <c:v>7.1969696969696972</c:v>
                </c:pt>
                <c:pt idx="7">
                  <c:v>10.62992125984252</c:v>
                </c:pt>
                <c:pt idx="8" formatCode="0.0">
                  <c:v>10.95890410958904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10-4EE8-8A9A-87ADCF9612CD}"/>
            </c:ext>
          </c:extLst>
        </c:ser>
        <c:ser>
          <c:idx val="2"/>
          <c:order val="2"/>
          <c:tx>
            <c:strRef>
              <c:f>'6.04 Graphique 1'!$A$8</c:f>
              <c:strCache>
                <c:ptCount val="1"/>
                <c:pt idx="0">
                  <c:v>Professions Intermédiaires</c:v>
                </c:pt>
              </c:strCache>
            </c:strRef>
          </c:tx>
          <c:spPr>
            <a:ln>
              <a:solidFill>
                <a:srgbClr val="0000FF"/>
              </a:solidFill>
              <a:prstDash val="dash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0.18181818181818182"/>
                  <c:y val="6.6833751044277356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14,2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10-4EE8-8A9A-87ADCF9612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'6.04 Graphique 1'!$B$5:$J$5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'6.04 Graphique 1'!$B$8:$J$8</c:f>
              <c:numCache>
                <c:formatCode>#\ ##0.0</c:formatCode>
                <c:ptCount val="9"/>
                <c:pt idx="0">
                  <c:v>11.023622047244094</c:v>
                </c:pt>
                <c:pt idx="1">
                  <c:v>11.71875</c:v>
                </c:pt>
                <c:pt idx="2">
                  <c:v>12.217194570135746</c:v>
                </c:pt>
                <c:pt idx="3">
                  <c:v>17.475728155339805</c:v>
                </c:pt>
                <c:pt idx="4">
                  <c:v>14.079422382671481</c:v>
                </c:pt>
                <c:pt idx="5">
                  <c:v>9.8684210526315788</c:v>
                </c:pt>
                <c:pt idx="6">
                  <c:v>13.257575757575758</c:v>
                </c:pt>
                <c:pt idx="7">
                  <c:v>9.0551181102362204</c:v>
                </c:pt>
                <c:pt idx="8" formatCode="0.0">
                  <c:v>11.986301369863012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10-4EE8-8A9A-87ADCF9612CD}"/>
            </c:ext>
          </c:extLst>
        </c:ser>
        <c:ser>
          <c:idx val="3"/>
          <c:order val="3"/>
          <c:tx>
            <c:strRef>
              <c:f>'6.04 Graphique 1'!$A$9</c:f>
              <c:strCache>
                <c:ptCount val="1"/>
                <c:pt idx="0">
                  <c:v>Employés</c:v>
                </c:pt>
              </c:strCache>
            </c:strRef>
          </c:tx>
          <c:spPr>
            <a:ln>
              <a:solidFill>
                <a:srgbClr val="650CE8"/>
              </a:solidFill>
              <a:prstDash val="dashDot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0.17899929527836483"/>
                  <c:y val="-5.012531328320801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19,5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10-4EE8-8A9A-87ADCF9612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'6.04 Graphique 1'!$B$5:$J$5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'6.04 Graphique 1'!$B$9:$J$9</c:f>
              <c:numCache>
                <c:formatCode>#\ ##0.0</c:formatCode>
                <c:ptCount val="9"/>
                <c:pt idx="0">
                  <c:v>21.653543307086615</c:v>
                </c:pt>
                <c:pt idx="1">
                  <c:v>22.265625</c:v>
                </c:pt>
                <c:pt idx="2">
                  <c:v>18.552036199095024</c:v>
                </c:pt>
                <c:pt idx="3">
                  <c:v>20.388349514563107</c:v>
                </c:pt>
                <c:pt idx="4">
                  <c:v>19.133574007220215</c:v>
                </c:pt>
                <c:pt idx="5">
                  <c:v>25.986842105263158</c:v>
                </c:pt>
                <c:pt idx="6">
                  <c:v>18.939393939393938</c:v>
                </c:pt>
                <c:pt idx="7">
                  <c:v>25.196850393700785</c:v>
                </c:pt>
                <c:pt idx="8" formatCode="0.0">
                  <c:v>32.87671232876712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10-4EE8-8A9A-87ADCF9612CD}"/>
            </c:ext>
          </c:extLst>
        </c:ser>
        <c:ser>
          <c:idx val="4"/>
          <c:order val="4"/>
          <c:tx>
            <c:strRef>
              <c:f>'6.04 Graphique 1'!$A$10</c:f>
              <c:strCache>
                <c:ptCount val="1"/>
                <c:pt idx="0">
                  <c:v>Ouvriers</c:v>
                </c:pt>
              </c:strCache>
            </c:strRef>
          </c:tx>
          <c:spPr>
            <a:ln>
              <a:solidFill>
                <a:srgbClr val="002060"/>
              </a:solidFill>
              <a:prstDash val="lgDash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0.17758985200845645"/>
                  <c:y val="1.336675020885547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23,1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10-4EE8-8A9A-87ADCF9612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'6.04 Graphique 1'!$B$5:$J$5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'6.04 Graphique 1'!$B$10:$J$10</c:f>
              <c:numCache>
                <c:formatCode>#\ ##0.0</c:formatCode>
                <c:ptCount val="9"/>
                <c:pt idx="0">
                  <c:v>20.866141732283463</c:v>
                </c:pt>
                <c:pt idx="1">
                  <c:v>19.140625</c:v>
                </c:pt>
                <c:pt idx="2">
                  <c:v>22.171945701357465</c:v>
                </c:pt>
                <c:pt idx="3">
                  <c:v>19.093851132686083</c:v>
                </c:pt>
                <c:pt idx="4">
                  <c:v>22.021660649819495</c:v>
                </c:pt>
                <c:pt idx="5">
                  <c:v>19.078947368421055</c:v>
                </c:pt>
                <c:pt idx="6">
                  <c:v>22.348484848484848</c:v>
                </c:pt>
                <c:pt idx="7">
                  <c:v>20.078740157480315</c:v>
                </c:pt>
                <c:pt idx="8" formatCode="0.0">
                  <c:v>3.7671232876712328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010-4EE8-8A9A-87ADCF9612CD}"/>
            </c:ext>
          </c:extLst>
        </c:ser>
        <c:ser>
          <c:idx val="5"/>
          <c:order val="5"/>
          <c:tx>
            <c:strRef>
              <c:f>'6.04 Graphique 1'!$A$11</c:f>
              <c:strCache>
                <c:ptCount val="1"/>
                <c:pt idx="0">
                  <c:v>Retraités et inactifs *</c:v>
                </c:pt>
              </c:strCache>
            </c:strRef>
          </c:tx>
          <c:spPr>
            <a:ln>
              <a:solidFill>
                <a:srgbClr val="410050"/>
              </a:solidFill>
              <a:prstDash val="lgDashDot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0.18181818181818182"/>
                  <c:y val="-3.00751879699248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14,9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10-4EE8-8A9A-87ADCF9612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'6.04 Graphique 1'!$B$5:$J$5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'6.04 Graphique 1'!$B$11:$J$11</c:f>
              <c:numCache>
                <c:formatCode>#\ ##0.0</c:formatCode>
                <c:ptCount val="9"/>
                <c:pt idx="0">
                  <c:v>20.472440944881889</c:v>
                </c:pt>
                <c:pt idx="1">
                  <c:v>14.453125</c:v>
                </c:pt>
                <c:pt idx="2">
                  <c:v>23.981900452488688</c:v>
                </c:pt>
                <c:pt idx="3">
                  <c:v>13.592233009708737</c:v>
                </c:pt>
                <c:pt idx="4">
                  <c:v>15.162454873646208</c:v>
                </c:pt>
                <c:pt idx="5">
                  <c:v>15.789473684210526</c:v>
                </c:pt>
                <c:pt idx="6">
                  <c:v>20.454545454545457</c:v>
                </c:pt>
                <c:pt idx="7">
                  <c:v>13.779527559055119</c:v>
                </c:pt>
                <c:pt idx="8" formatCode="0.0">
                  <c:v>33.561643835616437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010-4EE8-8A9A-87ADCF961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108344"/>
        <c:axId val="1"/>
      </c:lineChart>
      <c:catAx>
        <c:axId val="32910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4"/>
          <c:min val="1"/>
        </c:scaling>
        <c:delete val="0"/>
        <c:axPos val="l"/>
        <c:numFmt formatCode="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29108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094330162614322"/>
          <c:y val="0.89950542987115656"/>
          <c:w val="0.76955646928911903"/>
          <c:h val="0.1004945701288434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'6.13 Tableau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13-4395-B61B-22B9692E6D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13-4395-B61B-22B9692E6D5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13-4395-B61B-22B9692E6D5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13-4395-B61B-22B9692E6D5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13-4395-B61B-22B9692E6D5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13-4395-B61B-22B9692E6D5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13-4395-B61B-22B9692E6D5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13-4395-B61B-22B9692E6D5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13-4395-B61B-22B9692E6D5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13-4395-B61B-22B9692E6D5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13-4395-B61B-22B9692E6D5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13-4395-B61B-22B9692E6D5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13-4395-B61B-22B9692E6D5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13-4395-B61B-22B9692E6D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'6.04 Tableau 3'!$B$6:$I$6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'6.13 Tableau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B13-4395-B61B-22B9692E6D59}"/>
            </c:ext>
          </c:extLst>
        </c:ser>
        <c:ser>
          <c:idx val="1"/>
          <c:order val="1"/>
          <c:tx>
            <c:strRef>
              <c:f>'6.04 Tableau 3'!$A$7</c:f>
              <c:strCache>
                <c:ptCount val="1"/>
                <c:pt idx="0">
                  <c:v>Spécialité de la production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B13-4395-B61B-22B9692E6D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B13-4395-B61B-22B9692E6D5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B13-4395-B61B-22B9692E6D5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B13-4395-B61B-22B9692E6D5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B13-4395-B61B-22B9692E6D5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B13-4395-B61B-22B9692E6D5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B13-4395-B61B-22B9692E6D5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B13-4395-B61B-22B9692E6D5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B13-4395-B61B-22B9692E6D5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B13-4395-B61B-22B9692E6D5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B13-4395-B61B-22B9692E6D5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B13-4395-B61B-22B9692E6D5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B13-4395-B61B-22B9692E6D5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B13-4395-B61B-22B9692E6D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'6.04 Tableau 3'!$B$6:$I$6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'6.04 Tableau 3'!$B$7:$I$7</c:f>
              <c:numCache>
                <c:formatCode>#,##0</c:formatCode>
                <c:ptCount val="8"/>
                <c:pt idx="0">
                  <c:v>120</c:v>
                </c:pt>
                <c:pt idx="1">
                  <c:v>101</c:v>
                </c:pt>
                <c:pt idx="2">
                  <c:v>125</c:v>
                </c:pt>
                <c:pt idx="3">
                  <c:v>105</c:v>
                </c:pt>
                <c:pt idx="4">
                  <c:v>110</c:v>
                </c:pt>
                <c:pt idx="5">
                  <c:v>115</c:v>
                </c:pt>
                <c:pt idx="6" formatCode="General">
                  <c:v>100</c:v>
                </c:pt>
                <c:pt idx="7" formatCode="General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B13-4395-B61B-22B9692E6D59}"/>
            </c:ext>
          </c:extLst>
        </c:ser>
        <c:ser>
          <c:idx val="0"/>
          <c:order val="2"/>
          <c:tx>
            <c:strRef>
              <c:f>'6.04 Tableau 3'!$A$8</c:f>
              <c:strCache>
                <c:ptCount val="1"/>
                <c:pt idx="0">
                  <c:v>Spécialité des services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B13-4395-B61B-22B9692E6D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B13-4395-B61B-22B9692E6D5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B13-4395-B61B-22B9692E6D5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B13-4395-B61B-22B9692E6D5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B13-4395-B61B-22B9692E6D5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B13-4395-B61B-22B9692E6D5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B13-4395-B61B-22B9692E6D5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B13-4395-B61B-22B9692E6D5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B13-4395-B61B-22B9692E6D5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B13-4395-B61B-22B9692E6D5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B13-4395-B61B-22B9692E6D5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B13-4395-B61B-22B9692E6D5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B13-4395-B61B-22B9692E6D5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B13-4395-B61B-22B9692E6D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'6.04 Tableau 3'!$B$6:$I$6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'6.04 Tableau 3'!$B$8:$I$8</c:f>
              <c:numCache>
                <c:formatCode>#,##0</c:formatCode>
                <c:ptCount val="8"/>
                <c:pt idx="0">
                  <c:v>319</c:v>
                </c:pt>
                <c:pt idx="1">
                  <c:v>306</c:v>
                </c:pt>
                <c:pt idx="2">
                  <c:v>346</c:v>
                </c:pt>
                <c:pt idx="3">
                  <c:v>370</c:v>
                </c:pt>
                <c:pt idx="4">
                  <c:v>367</c:v>
                </c:pt>
                <c:pt idx="5">
                  <c:v>368</c:v>
                </c:pt>
                <c:pt idx="6">
                  <c:v>303</c:v>
                </c:pt>
                <c:pt idx="7">
                  <c:v>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AB13-4395-B61B-22B9692E6D59}"/>
            </c:ext>
          </c:extLst>
        </c:ser>
        <c:ser>
          <c:idx val="3"/>
          <c:order val="3"/>
          <c:tx>
            <c:strRef>
              <c:f>'6.04 Tableau 3'!$A$10</c:f>
              <c:strCache>
                <c:ptCount val="1"/>
                <c:pt idx="0">
                  <c:v>► Champ : Corse, établissements publics et privés sous ou hors contrat, étudiants sous statut scolaire.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'6.04 Tableau 3'!$B$6:$I$6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'6.04 Tableau 3'!$B$10:$H$10</c:f>
              <c:numCache>
                <c:formatCode>General</c:formatCode>
                <c:ptCount val="7"/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AB13-4395-B61B-22B9692E6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719552"/>
        <c:axId val="113741824"/>
      </c:lineChart>
      <c:catAx>
        <c:axId val="11371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741824"/>
        <c:crosses val="autoZero"/>
        <c:auto val="1"/>
        <c:lblAlgn val="ctr"/>
        <c:lblOffset val="100"/>
        <c:noMultiLvlLbl val="0"/>
      </c:catAx>
      <c:valAx>
        <c:axId val="113741824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71955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591325674454625"/>
          <c:y val="0.25781167979002623"/>
          <c:w val="0.22408680368184225"/>
          <c:h val="0.687506561679790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14</xdr:row>
      <xdr:rowOff>123263</xdr:rowOff>
    </xdr:from>
    <xdr:to>
      <xdr:col>10</xdr:col>
      <xdr:colOff>100853</xdr:colOff>
      <xdr:row>51</xdr:row>
      <xdr:rowOff>78441</xdr:rowOff>
    </xdr:to>
    <xdr:graphicFrame macro="">
      <xdr:nvGraphicFramePr>
        <xdr:cNvPr id="105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0.89525</cdr:x>
      <cdr:y>0.94525</cdr:y>
    </cdr:from>
    <cdr:to>
      <cdr:x>0.89525</cdr:x>
      <cdr:y>0.95182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324851" y="36814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0.93334</cdr:x>
      <cdr:y>0.9363</cdr:y>
    </cdr:from>
    <cdr:to>
      <cdr:x>0.99397</cdr:x>
      <cdr:y>0.99854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401051" y="3557589"/>
          <a:ext cx="561975" cy="23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© SIES</a:t>
          </a:r>
        </a:p>
      </cdr:txBody>
    </cdr:sp>
  </cdr:relSizeAnchor>
  <cdr:relSizeAnchor xmlns:cdr="http://schemas.openxmlformats.org/drawingml/2006/chartDrawing">
    <cdr:from>
      <cdr:x>0.8985</cdr:x>
      <cdr:y>0.94452</cdr:y>
    </cdr:from>
    <cdr:to>
      <cdr:x>0.89899</cdr:x>
      <cdr:y>0.95936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8324851" y="36814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13</xdr:row>
      <xdr:rowOff>57150</xdr:rowOff>
    </xdr:from>
    <xdr:to>
      <xdr:col>7</xdr:col>
      <xdr:colOff>676274</xdr:colOff>
      <xdr:row>30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A95"/>
  <sheetViews>
    <sheetView showGridLines="0" tabSelected="1" zoomScaleNormal="100" zoomScaleSheetLayoutView="110" workbookViewId="0">
      <selection activeCell="E16" sqref="E16"/>
    </sheetView>
  </sheetViews>
  <sheetFormatPr baseColWidth="10" defaultRowHeight="12.75" x14ac:dyDescent="0.2"/>
  <cols>
    <col min="1" max="1" width="90.7109375" style="14" customWidth="1"/>
    <col min="2" max="16384" width="11.42578125" style="14"/>
  </cols>
  <sheetData>
    <row r="1" spans="1:1" x14ac:dyDescent="0.2">
      <c r="A1" s="13" t="s">
        <v>106</v>
      </c>
    </row>
    <row r="2" spans="1:1" x14ac:dyDescent="0.2">
      <c r="A2" s="15" t="s">
        <v>53</v>
      </c>
    </row>
    <row r="3" spans="1:1" x14ac:dyDescent="0.2">
      <c r="A3" s="61">
        <v>45264</v>
      </c>
    </row>
    <row r="4" spans="1:1" ht="20.25" thickBot="1" x14ac:dyDescent="0.35">
      <c r="A4" s="62" t="s">
        <v>54</v>
      </c>
    </row>
    <row r="5" spans="1:1" ht="13.5" thickTop="1" x14ac:dyDescent="0.2"/>
    <row r="6" spans="1:1" ht="25.5" x14ac:dyDescent="0.2">
      <c r="A6" s="63" t="s">
        <v>55</v>
      </c>
    </row>
    <row r="7" spans="1:1" ht="82.5" customHeight="1" x14ac:dyDescent="0.2">
      <c r="A7" s="64" t="s">
        <v>56</v>
      </c>
    </row>
    <row r="8" spans="1:1" ht="15.75" x14ac:dyDescent="0.2">
      <c r="A8" s="16" t="s">
        <v>104</v>
      </c>
    </row>
    <row r="9" spans="1:1" x14ac:dyDescent="0.2">
      <c r="A9" s="17"/>
    </row>
    <row r="10" spans="1:1" x14ac:dyDescent="0.2">
      <c r="A10" s="17"/>
    </row>
    <row r="11" spans="1:1" x14ac:dyDescent="0.2">
      <c r="A11" s="17"/>
    </row>
    <row r="12" spans="1:1" s="18" customFormat="1" ht="34.9" customHeight="1" x14ac:dyDescent="0.2"/>
    <row r="13" spans="1:1" ht="35.1" customHeight="1" x14ac:dyDescent="0.2">
      <c r="A13" s="19" t="s">
        <v>32</v>
      </c>
    </row>
    <row r="14" spans="1:1" ht="18" customHeight="1" x14ac:dyDescent="0.2">
      <c r="A14" s="20" t="s">
        <v>82</v>
      </c>
    </row>
    <row r="15" spans="1:1" ht="24" x14ac:dyDescent="0.2">
      <c r="A15" s="20" t="s">
        <v>83</v>
      </c>
    </row>
    <row r="16" spans="1:1" ht="24" x14ac:dyDescent="0.2">
      <c r="A16" s="20" t="s">
        <v>88</v>
      </c>
    </row>
    <row r="17" spans="1:1" x14ac:dyDescent="0.2">
      <c r="A17" s="20" t="s">
        <v>85</v>
      </c>
    </row>
    <row r="18" spans="1:1" ht="24" x14ac:dyDescent="0.2">
      <c r="A18" s="20" t="s">
        <v>109</v>
      </c>
    </row>
    <row r="19" spans="1:1" x14ac:dyDescent="0.2">
      <c r="A19" s="20"/>
    </row>
    <row r="20" spans="1:1" ht="35.1" customHeight="1" x14ac:dyDescent="0.2">
      <c r="A20" s="21" t="s">
        <v>33</v>
      </c>
    </row>
    <row r="21" spans="1:1" ht="22.5" x14ac:dyDescent="0.2">
      <c r="A21" s="22" t="s">
        <v>34</v>
      </c>
    </row>
    <row r="22" spans="1:1" ht="22.5" x14ac:dyDescent="0.2">
      <c r="A22" s="22" t="s">
        <v>35</v>
      </c>
    </row>
    <row r="23" spans="1:1" ht="35.1" customHeight="1" x14ac:dyDescent="0.2">
      <c r="A23" s="23" t="s">
        <v>36</v>
      </c>
    </row>
    <row r="24" spans="1:1" x14ac:dyDescent="0.2">
      <c r="A24" s="24" t="s">
        <v>37</v>
      </c>
    </row>
    <row r="25" spans="1:1" ht="35.1" customHeight="1" x14ac:dyDescent="0.2">
      <c r="A25" s="25" t="s">
        <v>38</v>
      </c>
    </row>
    <row r="26" spans="1:1" x14ac:dyDescent="0.2">
      <c r="A26" s="26" t="s">
        <v>101</v>
      </c>
    </row>
    <row r="27" spans="1:1" x14ac:dyDescent="0.2">
      <c r="A27" s="18"/>
    </row>
    <row r="28" spans="1:1" ht="22.5" x14ac:dyDescent="0.2">
      <c r="A28" s="27" t="s">
        <v>39</v>
      </c>
    </row>
    <row r="29" spans="1:1" x14ac:dyDescent="0.2">
      <c r="A29" s="28"/>
    </row>
    <row r="30" spans="1:1" x14ac:dyDescent="0.2">
      <c r="A30" s="21" t="s">
        <v>40</v>
      </c>
    </row>
    <row r="31" spans="1:1" x14ac:dyDescent="0.2">
      <c r="A31" s="28"/>
    </row>
    <row r="32" spans="1:1" x14ac:dyDescent="0.2">
      <c r="A32" s="28" t="s">
        <v>41</v>
      </c>
    </row>
    <row r="33" spans="1:1" x14ac:dyDescent="0.2">
      <c r="A33" s="28" t="s">
        <v>42</v>
      </c>
    </row>
    <row r="34" spans="1:1" x14ac:dyDescent="0.2">
      <c r="A34" s="28" t="s">
        <v>43</v>
      </c>
    </row>
    <row r="35" spans="1:1" x14ac:dyDescent="0.2">
      <c r="A35" s="28" t="s">
        <v>44</v>
      </c>
    </row>
    <row r="36" spans="1:1" x14ac:dyDescent="0.2">
      <c r="A36" s="18"/>
    </row>
    <row r="37" spans="1:1" x14ac:dyDescent="0.2">
      <c r="A37" s="18"/>
    </row>
    <row r="38" spans="1:1" x14ac:dyDescent="0.2">
      <c r="A38" s="18"/>
    </row>
    <row r="39" spans="1:1" x14ac:dyDescent="0.2">
      <c r="A39" s="18"/>
    </row>
    <row r="40" spans="1:1" x14ac:dyDescent="0.2">
      <c r="A40" s="18"/>
    </row>
    <row r="41" spans="1:1" x14ac:dyDescent="0.2">
      <c r="A41" s="18"/>
    </row>
    <row r="42" spans="1:1" x14ac:dyDescent="0.2">
      <c r="A42" s="18"/>
    </row>
    <row r="43" spans="1:1" x14ac:dyDescent="0.2">
      <c r="A43" s="18"/>
    </row>
    <row r="44" spans="1:1" x14ac:dyDescent="0.2">
      <c r="A44" s="18"/>
    </row>
    <row r="45" spans="1:1" x14ac:dyDescent="0.2">
      <c r="A45" s="18"/>
    </row>
    <row r="46" spans="1:1" x14ac:dyDescent="0.2">
      <c r="A46" s="18"/>
    </row>
    <row r="47" spans="1:1" x14ac:dyDescent="0.2">
      <c r="A47" s="18"/>
    </row>
    <row r="48" spans="1:1" x14ac:dyDescent="0.2">
      <c r="A48" s="18"/>
    </row>
    <row r="49" spans="1:1" x14ac:dyDescent="0.2">
      <c r="A49" s="18"/>
    </row>
    <row r="50" spans="1:1" x14ac:dyDescent="0.2">
      <c r="A50" s="18"/>
    </row>
    <row r="51" spans="1:1" x14ac:dyDescent="0.2">
      <c r="A51" s="18"/>
    </row>
    <row r="52" spans="1:1" x14ac:dyDescent="0.2">
      <c r="A52" s="18"/>
    </row>
    <row r="53" spans="1:1" x14ac:dyDescent="0.2">
      <c r="A53" s="18"/>
    </row>
    <row r="54" spans="1:1" x14ac:dyDescent="0.2">
      <c r="A54" s="18"/>
    </row>
    <row r="55" spans="1:1" x14ac:dyDescent="0.2">
      <c r="A55" s="18"/>
    </row>
    <row r="56" spans="1:1" x14ac:dyDescent="0.2">
      <c r="A56" s="18"/>
    </row>
    <row r="57" spans="1:1" x14ac:dyDescent="0.2">
      <c r="A57" s="18"/>
    </row>
    <row r="58" spans="1:1" x14ac:dyDescent="0.2">
      <c r="A58" s="18"/>
    </row>
    <row r="59" spans="1:1" x14ac:dyDescent="0.2">
      <c r="A59" s="18"/>
    </row>
    <row r="60" spans="1:1" x14ac:dyDescent="0.2">
      <c r="A60" s="18"/>
    </row>
    <row r="61" spans="1:1" x14ac:dyDescent="0.2">
      <c r="A61" s="18"/>
    </row>
    <row r="62" spans="1:1" x14ac:dyDescent="0.2">
      <c r="A62" s="18"/>
    </row>
    <row r="63" spans="1:1" x14ac:dyDescent="0.2">
      <c r="A63" s="18"/>
    </row>
    <row r="64" spans="1:1" x14ac:dyDescent="0.2">
      <c r="A64" s="18"/>
    </row>
    <row r="65" spans="1:1" x14ac:dyDescent="0.2">
      <c r="A65" s="18"/>
    </row>
    <row r="66" spans="1:1" x14ac:dyDescent="0.2">
      <c r="A66" s="18"/>
    </row>
    <row r="67" spans="1:1" x14ac:dyDescent="0.2">
      <c r="A67" s="18"/>
    </row>
    <row r="68" spans="1:1" x14ac:dyDescent="0.2">
      <c r="A68" s="18"/>
    </row>
    <row r="69" spans="1:1" x14ac:dyDescent="0.2">
      <c r="A69" s="18"/>
    </row>
    <row r="70" spans="1:1" x14ac:dyDescent="0.2">
      <c r="A70" s="18"/>
    </row>
    <row r="71" spans="1:1" x14ac:dyDescent="0.2">
      <c r="A71" s="18"/>
    </row>
    <row r="72" spans="1:1" x14ac:dyDescent="0.2">
      <c r="A72" s="18"/>
    </row>
    <row r="73" spans="1:1" x14ac:dyDescent="0.2">
      <c r="A73" s="18"/>
    </row>
    <row r="74" spans="1:1" x14ac:dyDescent="0.2">
      <c r="A74" s="18"/>
    </row>
    <row r="75" spans="1:1" x14ac:dyDescent="0.2">
      <c r="A75" s="18"/>
    </row>
    <row r="76" spans="1:1" x14ac:dyDescent="0.2">
      <c r="A76" s="18"/>
    </row>
    <row r="77" spans="1:1" x14ac:dyDescent="0.2">
      <c r="A77" s="18"/>
    </row>
    <row r="78" spans="1:1" x14ac:dyDescent="0.2">
      <c r="A78" s="18"/>
    </row>
    <row r="79" spans="1:1" x14ac:dyDescent="0.2">
      <c r="A79" s="18"/>
    </row>
    <row r="80" spans="1:1" x14ac:dyDescent="0.2">
      <c r="A80" s="18"/>
    </row>
    <row r="81" spans="1:1" x14ac:dyDescent="0.2">
      <c r="A81" s="18"/>
    </row>
    <row r="82" spans="1:1" x14ac:dyDescent="0.2">
      <c r="A82" s="18"/>
    </row>
    <row r="83" spans="1:1" x14ac:dyDescent="0.2">
      <c r="A83" s="18"/>
    </row>
    <row r="84" spans="1:1" x14ac:dyDescent="0.2">
      <c r="A84" s="18"/>
    </row>
    <row r="85" spans="1:1" x14ac:dyDescent="0.2">
      <c r="A85" s="18"/>
    </row>
    <row r="86" spans="1:1" x14ac:dyDescent="0.2">
      <c r="A86" s="18"/>
    </row>
    <row r="87" spans="1:1" x14ac:dyDescent="0.2">
      <c r="A87" s="18"/>
    </row>
    <row r="88" spans="1:1" x14ac:dyDescent="0.2">
      <c r="A88" s="18"/>
    </row>
    <row r="89" spans="1:1" x14ac:dyDescent="0.2">
      <c r="A89" s="18"/>
    </row>
    <row r="90" spans="1:1" x14ac:dyDescent="0.2">
      <c r="A90" s="18"/>
    </row>
    <row r="91" spans="1:1" x14ac:dyDescent="0.2">
      <c r="A91" s="18"/>
    </row>
    <row r="92" spans="1:1" x14ac:dyDescent="0.2">
      <c r="A92" s="18"/>
    </row>
    <row r="93" spans="1:1" x14ac:dyDescent="0.2">
      <c r="A93" s="18"/>
    </row>
    <row r="94" spans="1:1" x14ac:dyDescent="0.2">
      <c r="A94" s="18"/>
    </row>
    <row r="95" spans="1:1" x14ac:dyDescent="0.2">
      <c r="A95" s="18"/>
    </row>
  </sheetData>
  <hyperlinks>
    <hyperlink ref="A7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43"/>
  <sheetViews>
    <sheetView showGridLines="0" zoomScale="85" zoomScaleNormal="85" workbookViewId="0">
      <selection activeCell="Q28" sqref="Q28"/>
    </sheetView>
  </sheetViews>
  <sheetFormatPr baseColWidth="10" defaultRowHeight="12.75" x14ac:dyDescent="0.2"/>
  <cols>
    <col min="1" max="1" width="36.85546875" style="47" customWidth="1"/>
    <col min="2" max="9" width="11.42578125" style="47"/>
    <col min="10" max="10" width="11.42578125" style="119"/>
    <col min="11" max="16384" width="11.42578125" style="47"/>
  </cols>
  <sheetData>
    <row r="1" spans="1:10" ht="15" x14ac:dyDescent="0.2">
      <c r="A1" s="42" t="s">
        <v>105</v>
      </c>
    </row>
    <row r="3" spans="1:10" x14ac:dyDescent="0.2">
      <c r="A3" s="43" t="s">
        <v>82</v>
      </c>
    </row>
    <row r="5" spans="1:10" ht="27.75" customHeight="1" x14ac:dyDescent="0.2">
      <c r="A5" s="65"/>
      <c r="B5" s="66">
        <v>2015</v>
      </c>
      <c r="C5" s="67">
        <v>2016</v>
      </c>
      <c r="D5" s="67">
        <v>2017</v>
      </c>
      <c r="E5" s="67">
        <v>2018</v>
      </c>
      <c r="F5" s="67">
        <v>2019</v>
      </c>
      <c r="G5" s="67">
        <v>2020</v>
      </c>
      <c r="H5" s="67">
        <v>2021</v>
      </c>
      <c r="I5" s="67">
        <v>2022</v>
      </c>
      <c r="J5" s="67">
        <v>2023</v>
      </c>
    </row>
    <row r="6" spans="1:10" ht="27.75" customHeight="1" x14ac:dyDescent="0.2">
      <c r="A6" s="68" t="s">
        <v>13</v>
      </c>
      <c r="B6" s="69">
        <f>43/254*100</f>
        <v>16.929133858267718</v>
      </c>
      <c r="C6" s="69">
        <f>0.14453125*100</f>
        <v>14.453125</v>
      </c>
      <c r="D6" s="69">
        <f>27/221*100</f>
        <v>12.217194570135746</v>
      </c>
      <c r="E6" s="69">
        <f>49/309*100</f>
        <v>15.857605177993527</v>
      </c>
      <c r="F6" s="69">
        <f>43/277*100</f>
        <v>15.523465703971121</v>
      </c>
      <c r="G6" s="69">
        <f>53/304*100</f>
        <v>17.434210526315788</v>
      </c>
      <c r="H6" s="69">
        <f>47/264*100</f>
        <v>17.803030303030305</v>
      </c>
      <c r="I6" s="69">
        <f>54/254*100</f>
        <v>21.259842519685041</v>
      </c>
      <c r="J6" s="119">
        <f>20/292*100</f>
        <v>6.8493150684931505</v>
      </c>
    </row>
    <row r="7" spans="1:10" ht="27.75" customHeight="1" x14ac:dyDescent="0.2">
      <c r="A7" s="68" t="s">
        <v>14</v>
      </c>
      <c r="B7" s="69">
        <f>23/254*100</f>
        <v>9.0551181102362204</v>
      </c>
      <c r="C7" s="70">
        <f>0.1796875*100</f>
        <v>17.96875</v>
      </c>
      <c r="D7" s="70">
        <f>24/221*100</f>
        <v>10.859728506787331</v>
      </c>
      <c r="E7" s="70">
        <f>42/309*100</f>
        <v>13.592233009708737</v>
      </c>
      <c r="F7" s="70">
        <f>39/277*100</f>
        <v>14.079422382671481</v>
      </c>
      <c r="G7" s="70">
        <f>36/304*100</f>
        <v>11.842105263157894</v>
      </c>
      <c r="H7" s="70">
        <f>19/264*100</f>
        <v>7.1969696969696972</v>
      </c>
      <c r="I7" s="70">
        <f>27/254*100</f>
        <v>10.62992125984252</v>
      </c>
      <c r="J7" s="119">
        <f>32/292*100</f>
        <v>10.95890410958904</v>
      </c>
    </row>
    <row r="8" spans="1:10" ht="27.75" customHeight="1" x14ac:dyDescent="0.2">
      <c r="A8" s="68" t="s">
        <v>15</v>
      </c>
      <c r="B8" s="69">
        <f>28/254*100</f>
        <v>11.023622047244094</v>
      </c>
      <c r="C8" s="69">
        <f>0.1171875*100</f>
        <v>11.71875</v>
      </c>
      <c r="D8" s="69">
        <f t="shared" ref="D8" si="0">27/221*100</f>
        <v>12.217194570135746</v>
      </c>
      <c r="E8" s="69">
        <f>54/309*100</f>
        <v>17.475728155339805</v>
      </c>
      <c r="F8" s="69">
        <f>39/277*100</f>
        <v>14.079422382671481</v>
      </c>
      <c r="G8" s="69">
        <f>30/304*100</f>
        <v>9.8684210526315788</v>
      </c>
      <c r="H8" s="69">
        <f>35/264*100</f>
        <v>13.257575757575758</v>
      </c>
      <c r="I8" s="69">
        <f>23/254*100</f>
        <v>9.0551181102362204</v>
      </c>
      <c r="J8" s="119">
        <f>35/292*100</f>
        <v>11.986301369863012</v>
      </c>
    </row>
    <row r="9" spans="1:10" ht="27.75" customHeight="1" x14ac:dyDescent="0.2">
      <c r="A9" s="68" t="s">
        <v>16</v>
      </c>
      <c r="B9" s="69">
        <f>55/254*100</f>
        <v>21.653543307086615</v>
      </c>
      <c r="C9" s="69">
        <f>0.22265625*100</f>
        <v>22.265625</v>
      </c>
      <c r="D9" s="69">
        <f>41/221*100</f>
        <v>18.552036199095024</v>
      </c>
      <c r="E9" s="69">
        <f>63/309*100</f>
        <v>20.388349514563107</v>
      </c>
      <c r="F9" s="69">
        <f>53/277*100</f>
        <v>19.133574007220215</v>
      </c>
      <c r="G9" s="69">
        <f>79/304*100</f>
        <v>25.986842105263158</v>
      </c>
      <c r="H9" s="69">
        <f>50/264*100</f>
        <v>18.939393939393938</v>
      </c>
      <c r="I9" s="69">
        <f>64/254*100</f>
        <v>25.196850393700785</v>
      </c>
      <c r="J9" s="119">
        <f>96/292*100</f>
        <v>32.87671232876712</v>
      </c>
    </row>
    <row r="10" spans="1:10" ht="27.75" customHeight="1" x14ac:dyDescent="0.2">
      <c r="A10" s="68" t="s">
        <v>17</v>
      </c>
      <c r="B10" s="69">
        <f>53/254*100</f>
        <v>20.866141732283463</v>
      </c>
      <c r="C10" s="69">
        <f>0.19140625*100</f>
        <v>19.140625</v>
      </c>
      <c r="D10" s="69">
        <f>49/221*100</f>
        <v>22.171945701357465</v>
      </c>
      <c r="E10" s="69">
        <f>59/309*100</f>
        <v>19.093851132686083</v>
      </c>
      <c r="F10" s="69">
        <f>61/277*100</f>
        <v>22.021660649819495</v>
      </c>
      <c r="G10" s="69">
        <f>58/304*100</f>
        <v>19.078947368421055</v>
      </c>
      <c r="H10" s="69">
        <f>59/264*100</f>
        <v>22.348484848484848</v>
      </c>
      <c r="I10" s="69">
        <f>51/254*100</f>
        <v>20.078740157480315</v>
      </c>
      <c r="J10" s="119">
        <f>11/292*100</f>
        <v>3.7671232876712328</v>
      </c>
    </row>
    <row r="11" spans="1:10" ht="27.75" customHeight="1" x14ac:dyDescent="0.2">
      <c r="A11" s="68" t="s">
        <v>47</v>
      </c>
      <c r="B11" s="69">
        <f>52/254*100</f>
        <v>20.472440944881889</v>
      </c>
      <c r="C11" s="70">
        <f>0.14453125*100</f>
        <v>14.453125</v>
      </c>
      <c r="D11" s="70">
        <f>53/221*100</f>
        <v>23.981900452488688</v>
      </c>
      <c r="E11" s="70">
        <f>42/309*100</f>
        <v>13.592233009708737</v>
      </c>
      <c r="F11" s="70">
        <f>42/277*100</f>
        <v>15.162454873646208</v>
      </c>
      <c r="G11" s="70">
        <f>48/304*100</f>
        <v>15.789473684210526</v>
      </c>
      <c r="H11" s="70">
        <f>54/264*100</f>
        <v>20.454545454545457</v>
      </c>
      <c r="I11" s="70">
        <f>35/254*100</f>
        <v>13.779527559055119</v>
      </c>
      <c r="J11" s="119">
        <f>98/292*100</f>
        <v>33.561643835616437</v>
      </c>
    </row>
    <row r="12" spans="1:10" ht="27.75" customHeight="1" thickBot="1" x14ac:dyDescent="0.25">
      <c r="A12" s="65" t="s">
        <v>18</v>
      </c>
      <c r="B12" s="71">
        <f>SUM(B6:B11)</f>
        <v>100</v>
      </c>
      <c r="C12" s="71">
        <f>SUM(C6:C11)</f>
        <v>100</v>
      </c>
      <c r="D12" s="71">
        <f>SUM(D6:D11)</f>
        <v>100.00000000000001</v>
      </c>
      <c r="E12" s="71">
        <f>SUM(E6:E11)</f>
        <v>99.999999999999986</v>
      </c>
      <c r="F12" s="71">
        <f t="shared" ref="F12:I12" si="1">SUM(F6:F11)</f>
        <v>100</v>
      </c>
      <c r="G12" s="71">
        <f t="shared" si="1"/>
        <v>99.999999999999986</v>
      </c>
      <c r="H12" s="71">
        <f t="shared" si="1"/>
        <v>100</v>
      </c>
      <c r="I12" s="120">
        <f t="shared" si="1"/>
        <v>100</v>
      </c>
      <c r="J12" s="120">
        <f>SUM(J6:J11)</f>
        <v>100</v>
      </c>
    </row>
    <row r="13" spans="1:10" x14ac:dyDescent="0.2">
      <c r="A13" s="122" t="s">
        <v>49</v>
      </c>
      <c r="B13" s="122"/>
      <c r="C13" s="122"/>
      <c r="D13" s="122"/>
      <c r="E13" s="122"/>
      <c r="F13" s="122"/>
      <c r="G13" s="122"/>
      <c r="H13" s="122"/>
    </row>
    <row r="14" spans="1:10" ht="12.75" customHeight="1" x14ac:dyDescent="0.2">
      <c r="A14" s="123" t="s">
        <v>102</v>
      </c>
      <c r="B14" s="123"/>
      <c r="C14" s="123"/>
      <c r="D14" s="123"/>
    </row>
    <row r="15" spans="1:10" x14ac:dyDescent="0.2">
      <c r="A15" s="124" t="s">
        <v>48</v>
      </c>
      <c r="B15" s="123"/>
      <c r="C15" s="123"/>
      <c r="D15" s="123"/>
    </row>
    <row r="16" spans="1:10" x14ac:dyDescent="0.2">
      <c r="B16" s="48"/>
      <c r="C16" s="48"/>
      <c r="D16" s="48"/>
      <c r="E16" s="48"/>
      <c r="F16" s="48"/>
      <c r="G16" s="48"/>
      <c r="H16" s="48"/>
      <c r="I16" s="48"/>
    </row>
    <row r="17" spans="6:6" x14ac:dyDescent="0.2">
      <c r="F17" s="49"/>
    </row>
    <row r="42" spans="1:4" x14ac:dyDescent="0.2">
      <c r="A42" s="44" t="s">
        <v>49</v>
      </c>
      <c r="B42" s="45"/>
      <c r="C42" s="46"/>
      <c r="D42" s="46"/>
    </row>
    <row r="43" spans="1:4" ht="39" customHeight="1" x14ac:dyDescent="0.2">
      <c r="A43" s="123" t="s">
        <v>31</v>
      </c>
      <c r="B43" s="123"/>
      <c r="C43" s="123"/>
      <c r="D43" s="123"/>
    </row>
  </sheetData>
  <mergeCells count="4">
    <mergeCell ref="A13:H13"/>
    <mergeCell ref="A43:D43"/>
    <mergeCell ref="A14:D14"/>
    <mergeCell ref="A15:D15"/>
  </mergeCells>
  <pageMargins left="0.7" right="0.7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26"/>
  <sheetViews>
    <sheetView showGridLines="0" zoomScaleNormal="100" workbookViewId="0">
      <selection activeCell="C22" sqref="C22"/>
    </sheetView>
  </sheetViews>
  <sheetFormatPr baseColWidth="10" defaultColWidth="8.5703125" defaultRowHeight="12.75" x14ac:dyDescent="0.2"/>
  <cols>
    <col min="1" max="1" width="26.28515625" style="36" customWidth="1"/>
    <col min="2" max="7" width="7.42578125" style="36" customWidth="1"/>
    <col min="8" max="8" width="7.140625" style="36" customWidth="1"/>
    <col min="9" max="9" width="6.85546875" style="36" customWidth="1"/>
    <col min="10" max="236" width="11.42578125" style="36" customWidth="1"/>
    <col min="237" max="237" width="26.28515625" style="36" customWidth="1"/>
    <col min="238" max="247" width="7.42578125" style="36" customWidth="1"/>
    <col min="248" max="248" width="6.5703125" style="36" bestFit="1" customWidth="1"/>
    <col min="249" max="16384" width="8.5703125" style="36"/>
  </cols>
  <sheetData>
    <row r="1" spans="1:17" ht="22.5" customHeight="1" x14ac:dyDescent="0.2">
      <c r="A1" s="125" t="s">
        <v>105</v>
      </c>
      <c r="B1" s="125"/>
      <c r="C1" s="125"/>
      <c r="D1" s="125"/>
      <c r="E1" s="125"/>
      <c r="F1" s="125"/>
    </row>
    <row r="2" spans="1:17" x14ac:dyDescent="0.2">
      <c r="A2" s="29"/>
    </row>
    <row r="3" spans="1:17" x14ac:dyDescent="0.2">
      <c r="A3" s="52" t="s">
        <v>84</v>
      </c>
      <c r="B3" s="52"/>
      <c r="C3" s="52"/>
      <c r="D3" s="52"/>
      <c r="E3" s="52"/>
      <c r="F3" s="52"/>
      <c r="G3" s="52"/>
    </row>
    <row r="4" spans="1:17" x14ac:dyDescent="0.2">
      <c r="A4" s="53"/>
    </row>
    <row r="5" spans="1:17" ht="29.25" customHeight="1" x14ac:dyDescent="0.2">
      <c r="B5" s="58" t="s">
        <v>10</v>
      </c>
      <c r="C5" s="58" t="s">
        <v>11</v>
      </c>
      <c r="D5" s="58" t="s">
        <v>12</v>
      </c>
      <c r="E5" s="58" t="s">
        <v>21</v>
      </c>
      <c r="F5" s="58" t="s">
        <v>22</v>
      </c>
      <c r="G5" s="58" t="s">
        <v>24</v>
      </c>
      <c r="H5" s="58" t="s">
        <v>50</v>
      </c>
      <c r="I5" s="58" t="s">
        <v>87</v>
      </c>
    </row>
    <row r="6" spans="1:17" ht="18" customHeight="1" x14ac:dyDescent="0.2">
      <c r="A6" s="59" t="s">
        <v>0</v>
      </c>
      <c r="B6" s="40">
        <v>234</v>
      </c>
      <c r="C6" s="40">
        <v>206</v>
      </c>
      <c r="D6" s="40">
        <v>263</v>
      </c>
      <c r="E6" s="40">
        <v>249</v>
      </c>
      <c r="F6" s="40">
        <v>284</v>
      </c>
      <c r="G6" s="40">
        <v>236</v>
      </c>
      <c r="H6" s="40">
        <v>241</v>
      </c>
      <c r="I6" s="114">
        <v>260</v>
      </c>
      <c r="J6" s="60"/>
      <c r="M6" s="60"/>
    </row>
    <row r="7" spans="1:17" ht="18" customHeight="1" x14ac:dyDescent="0.2">
      <c r="A7" s="10" t="s">
        <v>26</v>
      </c>
      <c r="B7" s="9">
        <v>5.8</v>
      </c>
      <c r="C7" s="9" t="s">
        <v>92</v>
      </c>
      <c r="D7" s="54">
        <v>21.7</v>
      </c>
      <c r="E7" s="9" t="s">
        <v>96</v>
      </c>
      <c r="F7" s="9">
        <v>35</v>
      </c>
      <c r="G7" s="54">
        <v>17</v>
      </c>
      <c r="H7" s="9">
        <v>2.11</v>
      </c>
      <c r="I7" s="115">
        <v>7.9</v>
      </c>
      <c r="J7" s="60"/>
    </row>
    <row r="8" spans="1:17" ht="18" customHeight="1" x14ac:dyDescent="0.2">
      <c r="A8" s="10" t="s">
        <v>27</v>
      </c>
      <c r="B8" s="32">
        <f>+B6/B12*100</f>
        <v>93.600000000000009</v>
      </c>
      <c r="C8" s="32">
        <f>+C6/C12*100</f>
        <v>94.930875576036868</v>
      </c>
      <c r="D8" s="32">
        <f t="shared" ref="D8:G8" si="0">+D6/D12*100</f>
        <v>90.689655172413794</v>
      </c>
      <c r="E8" s="32">
        <f>+E6/E12*100</f>
        <v>90.87591240875912</v>
      </c>
      <c r="F8" s="32">
        <f t="shared" si="0"/>
        <v>93.114754098360649</v>
      </c>
      <c r="G8" s="32">
        <f t="shared" si="0"/>
        <v>89.393939393939391</v>
      </c>
      <c r="H8" s="32">
        <f>+H6/H12*100</f>
        <v>94.881889763779526</v>
      </c>
      <c r="I8" s="32">
        <f>+I6/I12*100</f>
        <v>94.545454545454547</v>
      </c>
      <c r="J8" s="60"/>
    </row>
    <row r="9" spans="1:17" ht="18" customHeight="1" x14ac:dyDescent="0.2">
      <c r="A9" s="59" t="s">
        <v>1</v>
      </c>
      <c r="B9" s="40">
        <v>16</v>
      </c>
      <c r="C9" s="40">
        <v>11</v>
      </c>
      <c r="D9" s="40">
        <v>27</v>
      </c>
      <c r="E9" s="40">
        <v>25</v>
      </c>
      <c r="F9" s="40">
        <v>21</v>
      </c>
      <c r="G9" s="40">
        <v>28</v>
      </c>
      <c r="H9" s="40">
        <v>13</v>
      </c>
      <c r="I9" s="116">
        <v>15</v>
      </c>
      <c r="J9" s="60"/>
    </row>
    <row r="10" spans="1:17" ht="18" customHeight="1" x14ac:dyDescent="0.2">
      <c r="A10" s="10" t="s">
        <v>26</v>
      </c>
      <c r="B10" s="34" t="s">
        <v>91</v>
      </c>
      <c r="C10" s="34" t="s">
        <v>93</v>
      </c>
      <c r="D10" s="32">
        <v>59.2</v>
      </c>
      <c r="E10" s="34" t="s">
        <v>95</v>
      </c>
      <c r="F10" s="32">
        <v>-16</v>
      </c>
      <c r="G10" s="32">
        <v>33</v>
      </c>
      <c r="H10" s="34" t="s">
        <v>97</v>
      </c>
      <c r="I10" s="115">
        <v>15.4</v>
      </c>
      <c r="J10" s="60"/>
    </row>
    <row r="11" spans="1:17" ht="18" customHeight="1" x14ac:dyDescent="0.2">
      <c r="A11" s="10" t="s">
        <v>27</v>
      </c>
      <c r="B11" s="32">
        <f>+B9/B12*100</f>
        <v>6.4</v>
      </c>
      <c r="C11" s="32">
        <f>+C9/C12*100</f>
        <v>5.0691244239631335</v>
      </c>
      <c r="D11" s="32">
        <f>+D9/D12*100</f>
        <v>9.3103448275862082</v>
      </c>
      <c r="E11" s="32">
        <f>+E9/E12*100</f>
        <v>9.1240875912408761</v>
      </c>
      <c r="F11" s="32">
        <f>+F9/F12*100</f>
        <v>6.8852459016393448</v>
      </c>
      <c r="G11" s="32">
        <f t="shared" ref="G11" si="1">+G9/G12*100</f>
        <v>10.606060606060606</v>
      </c>
      <c r="H11" s="32">
        <f>+H9/H12*100</f>
        <v>5.1181102362204722</v>
      </c>
      <c r="I11" s="32">
        <f>+I9/I12*100</f>
        <v>5.4545454545454541</v>
      </c>
      <c r="J11" s="60"/>
    </row>
    <row r="12" spans="1:17" ht="18" customHeight="1" x14ac:dyDescent="0.2">
      <c r="A12" s="59" t="s">
        <v>2</v>
      </c>
      <c r="B12" s="40">
        <f t="shared" ref="B12:I12" si="2">+B6+B9</f>
        <v>250</v>
      </c>
      <c r="C12" s="40">
        <f t="shared" si="2"/>
        <v>217</v>
      </c>
      <c r="D12" s="40">
        <f t="shared" si="2"/>
        <v>290</v>
      </c>
      <c r="E12" s="40">
        <f t="shared" si="2"/>
        <v>274</v>
      </c>
      <c r="F12" s="40">
        <f t="shared" si="2"/>
        <v>305</v>
      </c>
      <c r="G12" s="40">
        <f t="shared" si="2"/>
        <v>264</v>
      </c>
      <c r="H12" s="40">
        <f t="shared" si="2"/>
        <v>254</v>
      </c>
      <c r="I12" s="116">
        <f t="shared" si="2"/>
        <v>275</v>
      </c>
      <c r="J12" s="60"/>
      <c r="M12" s="55"/>
      <c r="N12" s="55"/>
      <c r="O12" s="55"/>
      <c r="P12" s="55"/>
      <c r="Q12" s="55"/>
    </row>
    <row r="13" spans="1:17" ht="18" customHeight="1" thickBot="1" x14ac:dyDescent="0.25">
      <c r="A13" s="56" t="s">
        <v>28</v>
      </c>
      <c r="B13" s="51">
        <v>1.6</v>
      </c>
      <c r="C13" s="51" t="s">
        <v>94</v>
      </c>
      <c r="D13" s="50">
        <v>25.2</v>
      </c>
      <c r="E13" s="51" t="s">
        <v>51</v>
      </c>
      <c r="F13" s="51">
        <v>11.3</v>
      </c>
      <c r="G13" s="51">
        <v>13.4</v>
      </c>
      <c r="H13" s="51" t="s">
        <v>98</v>
      </c>
      <c r="I13" s="51">
        <v>8.3000000000000007</v>
      </c>
      <c r="J13" s="121"/>
    </row>
    <row r="14" spans="1:17" s="1" customFormat="1" ht="12" customHeight="1" x14ac:dyDescent="0.2">
      <c r="A14" s="57" t="s">
        <v>49</v>
      </c>
      <c r="B14" s="57"/>
      <c r="C14" s="57"/>
      <c r="D14" s="2"/>
      <c r="E14" s="2"/>
      <c r="F14" s="2"/>
      <c r="G14" s="2" t="s">
        <v>86</v>
      </c>
      <c r="L14" s="36"/>
    </row>
    <row r="15" spans="1:17" ht="46.5" customHeight="1" x14ac:dyDescent="0.2">
      <c r="A15" s="126" t="s">
        <v>111</v>
      </c>
      <c r="B15" s="126"/>
      <c r="C15" s="126"/>
      <c r="D15" s="126"/>
      <c r="E15" s="126"/>
      <c r="F15" s="126"/>
    </row>
    <row r="16" spans="1:17" ht="20.25" customHeight="1" x14ac:dyDescent="0.2">
      <c r="A16" s="123" t="s">
        <v>52</v>
      </c>
      <c r="B16" s="123"/>
      <c r="C16" s="123"/>
      <c r="D16" s="123"/>
      <c r="E16" s="123"/>
      <c r="F16" s="123"/>
      <c r="G16" s="123"/>
    </row>
    <row r="17" spans="2:8" x14ac:dyDescent="0.2">
      <c r="B17" s="60"/>
      <c r="C17" s="60"/>
      <c r="D17" s="60"/>
      <c r="E17" s="60"/>
      <c r="F17" s="60"/>
      <c r="G17" s="60"/>
      <c r="H17" s="60"/>
    </row>
    <row r="21" spans="2:8" x14ac:dyDescent="0.2">
      <c r="B21" s="60"/>
    </row>
    <row r="26" spans="2:8" x14ac:dyDescent="0.2">
      <c r="H26" s="60"/>
    </row>
  </sheetData>
  <mergeCells count="3">
    <mergeCell ref="A16:G16"/>
    <mergeCell ref="A1:F1"/>
    <mergeCell ref="A15:F15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C8:I10 C7:H7 C12:I12 C11:H11 C13:H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>
      <selection activeCell="E20" sqref="E20"/>
    </sheetView>
  </sheetViews>
  <sheetFormatPr baseColWidth="10" defaultRowHeight="12.75" x14ac:dyDescent="0.2"/>
  <cols>
    <col min="1" max="1" width="7.140625" style="85" customWidth="1"/>
    <col min="2" max="2" width="52.5703125" style="88" customWidth="1"/>
    <col min="3" max="3" width="10.42578125" style="87" bestFit="1" customWidth="1"/>
    <col min="4" max="4" width="9.28515625" style="86" customWidth="1"/>
    <col min="5" max="5" width="10.5703125" style="86" customWidth="1"/>
    <col min="6" max="6" width="9.5703125" style="85" customWidth="1"/>
    <col min="7" max="7" width="11.42578125" style="85" customWidth="1"/>
    <col min="8" max="16384" width="11.42578125" style="85"/>
  </cols>
  <sheetData>
    <row r="1" spans="1:11" ht="15" x14ac:dyDescent="0.2">
      <c r="A1" s="129" t="s">
        <v>63</v>
      </c>
      <c r="B1" s="129"/>
      <c r="C1" s="129"/>
      <c r="D1" s="129"/>
    </row>
    <row r="2" spans="1:11" ht="15" x14ac:dyDescent="0.2">
      <c r="A2" s="84"/>
      <c r="B2" s="84"/>
      <c r="C2" s="84"/>
      <c r="D2" s="84"/>
    </row>
    <row r="3" spans="1:11" x14ac:dyDescent="0.2">
      <c r="A3" s="135" t="s">
        <v>88</v>
      </c>
      <c r="B3" s="135"/>
      <c r="C3" s="135"/>
      <c r="D3" s="135"/>
      <c r="E3" s="135"/>
      <c r="F3" s="135"/>
      <c r="G3" s="135"/>
      <c r="H3" s="135"/>
    </row>
    <row r="4" spans="1:11" x14ac:dyDescent="0.2">
      <c r="A4" s="113"/>
    </row>
    <row r="5" spans="1:11" ht="22.5" x14ac:dyDescent="0.2">
      <c r="A5" s="130" t="s">
        <v>81</v>
      </c>
      <c r="B5" s="131"/>
      <c r="C5" s="112" t="s">
        <v>89</v>
      </c>
      <c r="D5" s="112" t="s">
        <v>80</v>
      </c>
      <c r="E5" s="112" t="s">
        <v>79</v>
      </c>
      <c r="F5" s="112" t="s">
        <v>107</v>
      </c>
      <c r="G5" s="112" t="s">
        <v>78</v>
      </c>
    </row>
    <row r="6" spans="1:11" s="91" customFormat="1" ht="11.25" x14ac:dyDescent="0.2">
      <c r="A6" s="108">
        <v>201</v>
      </c>
      <c r="B6" s="107" t="s">
        <v>77</v>
      </c>
      <c r="C6" s="105">
        <v>40</v>
      </c>
      <c r="D6" s="104">
        <f>+C6/C19*100</f>
        <v>8.6580086580086579</v>
      </c>
      <c r="E6" s="106"/>
      <c r="F6" s="105">
        <v>35</v>
      </c>
      <c r="G6" s="109">
        <f>+C6/F6-1</f>
        <v>0.14285714285714279</v>
      </c>
      <c r="H6" s="111"/>
      <c r="I6" s="110"/>
      <c r="K6" s="110"/>
    </row>
    <row r="7" spans="1:11" s="91" customFormat="1" ht="11.25" x14ac:dyDescent="0.2">
      <c r="A7" s="108">
        <v>213</v>
      </c>
      <c r="B7" s="107" t="s">
        <v>76</v>
      </c>
      <c r="C7" s="105">
        <v>15</v>
      </c>
      <c r="D7" s="104">
        <f>+C7/C19*100</f>
        <v>3.2467532467532463</v>
      </c>
      <c r="E7" s="106">
        <f>2/C7*100</f>
        <v>13.333333333333334</v>
      </c>
      <c r="F7" s="105">
        <v>4</v>
      </c>
      <c r="G7" s="109">
        <f>+C7/F7-1</f>
        <v>2.75</v>
      </c>
    </row>
    <row r="8" spans="1:11" s="91" customFormat="1" ht="11.25" x14ac:dyDescent="0.2">
      <c r="A8" s="108">
        <v>250</v>
      </c>
      <c r="B8" s="107" t="s">
        <v>75</v>
      </c>
      <c r="C8" s="105">
        <v>38</v>
      </c>
      <c r="D8" s="104">
        <f>+C8/C19*100</f>
        <v>8.2251082251082259</v>
      </c>
      <c r="E8" s="106">
        <f>5/C8*100</f>
        <v>13.157894736842104</v>
      </c>
      <c r="F8" s="105">
        <v>36</v>
      </c>
      <c r="G8" s="109">
        <f t="shared" ref="G8:G19" si="0">+C8/F8-1</f>
        <v>5.555555555555558E-2</v>
      </c>
    </row>
    <row r="9" spans="1:11" s="91" customFormat="1" ht="11.25" x14ac:dyDescent="0.2">
      <c r="A9" s="108">
        <v>255</v>
      </c>
      <c r="B9" s="107" t="s">
        <v>74</v>
      </c>
      <c r="C9" s="105">
        <v>28</v>
      </c>
      <c r="D9" s="109">
        <f>+C9/C19*100</f>
        <v>6.0606060606060606</v>
      </c>
      <c r="E9" s="106"/>
      <c r="F9" s="105">
        <v>25</v>
      </c>
      <c r="G9" s="109">
        <f t="shared" si="0"/>
        <v>0.12000000000000011</v>
      </c>
    </row>
    <row r="10" spans="1:11" s="91" customFormat="1" ht="11.25" x14ac:dyDescent="0.2">
      <c r="A10" s="103"/>
      <c r="B10" s="102" t="s">
        <v>73</v>
      </c>
      <c r="C10" s="100">
        <f>SUM(C6:C9)</f>
        <v>121</v>
      </c>
      <c r="D10" s="99">
        <f>+C10/C19*100</f>
        <v>26.190476190476193</v>
      </c>
      <c r="E10" s="101">
        <f>7/C10*100</f>
        <v>5.785123966942149</v>
      </c>
      <c r="F10" s="100">
        <f>SUM(F6:F9)</f>
        <v>100</v>
      </c>
      <c r="G10" s="99">
        <f t="shared" si="0"/>
        <v>0.20999999999999996</v>
      </c>
    </row>
    <row r="11" spans="1:11" s="91" customFormat="1" ht="11.25" x14ac:dyDescent="0.2">
      <c r="A11" s="108">
        <v>312</v>
      </c>
      <c r="B11" s="107" t="s">
        <v>72</v>
      </c>
      <c r="C11" s="105">
        <v>91</v>
      </c>
      <c r="D11" s="104">
        <f>+C11/C19*100</f>
        <v>19.696969696969695</v>
      </c>
      <c r="E11" s="106">
        <f>43/C11*100</f>
        <v>47.252747252747248</v>
      </c>
      <c r="F11" s="105">
        <v>79</v>
      </c>
      <c r="G11" s="104">
        <f t="shared" si="0"/>
        <v>0.15189873417721511</v>
      </c>
    </row>
    <row r="12" spans="1:11" s="91" customFormat="1" ht="11.25" x14ac:dyDescent="0.2">
      <c r="A12" s="108">
        <v>314</v>
      </c>
      <c r="B12" s="107" t="s">
        <v>71</v>
      </c>
      <c r="C12" s="105">
        <v>70</v>
      </c>
      <c r="D12" s="104">
        <f>+C12/C19*100</f>
        <v>15.151515151515152</v>
      </c>
      <c r="E12" s="106">
        <f>34/C12*100</f>
        <v>48.571428571428569</v>
      </c>
      <c r="F12" s="105">
        <v>67</v>
      </c>
      <c r="G12" s="104">
        <f t="shared" si="0"/>
        <v>4.4776119402984982E-2</v>
      </c>
    </row>
    <row r="13" spans="1:11" s="91" customFormat="1" ht="11.25" x14ac:dyDescent="0.2">
      <c r="A13" s="108">
        <v>324</v>
      </c>
      <c r="B13" s="107" t="s">
        <v>70</v>
      </c>
      <c r="C13" s="105">
        <v>54</v>
      </c>
      <c r="D13" s="104">
        <f>+C13/C19*100</f>
        <v>11.688311688311687</v>
      </c>
      <c r="E13" s="106">
        <f>32/C13*100</f>
        <v>59.259259259259252</v>
      </c>
      <c r="F13" s="105">
        <v>52</v>
      </c>
      <c r="G13" s="104">
        <f t="shared" si="0"/>
        <v>3.8461538461538547E-2</v>
      </c>
    </row>
    <row r="14" spans="1:11" s="91" customFormat="1" ht="11.25" x14ac:dyDescent="0.2">
      <c r="A14" s="108">
        <v>326</v>
      </c>
      <c r="B14" s="107" t="s">
        <v>69</v>
      </c>
      <c r="C14" s="105">
        <v>29</v>
      </c>
      <c r="D14" s="104">
        <f>+C14/C19*100</f>
        <v>6.2770562770562766</v>
      </c>
      <c r="E14" s="106"/>
      <c r="F14" s="105">
        <v>30</v>
      </c>
      <c r="G14" s="104">
        <f>+C14/F14-1</f>
        <v>-3.3333333333333326E-2</v>
      </c>
    </row>
    <row r="15" spans="1:11" s="91" customFormat="1" ht="11.25" x14ac:dyDescent="0.2">
      <c r="A15" s="108">
        <v>330</v>
      </c>
      <c r="B15" s="107" t="s">
        <v>68</v>
      </c>
      <c r="C15" s="105">
        <v>5</v>
      </c>
      <c r="D15" s="104">
        <f>+C15/C19*100</f>
        <v>1.0822510822510822</v>
      </c>
      <c r="E15" s="106">
        <v>100</v>
      </c>
      <c r="F15" s="105">
        <v>5</v>
      </c>
      <c r="G15" s="104">
        <f t="shared" si="0"/>
        <v>0</v>
      </c>
    </row>
    <row r="16" spans="1:11" s="91" customFormat="1" ht="11.25" x14ac:dyDescent="0.2">
      <c r="A16" s="108">
        <v>334</v>
      </c>
      <c r="B16" s="107" t="s">
        <v>67</v>
      </c>
      <c r="C16" s="105">
        <v>81</v>
      </c>
      <c r="D16" s="104">
        <f>+C16/C19*100</f>
        <v>17.532467532467532</v>
      </c>
      <c r="E16" s="106">
        <f>61/C16*100</f>
        <v>75.308641975308646</v>
      </c>
      <c r="F16" s="105">
        <v>70</v>
      </c>
      <c r="G16" s="104">
        <f t="shared" si="0"/>
        <v>0.15714285714285725</v>
      </c>
    </row>
    <row r="17" spans="1:12" s="91" customFormat="1" ht="11.25" x14ac:dyDescent="0.2">
      <c r="A17" s="108">
        <v>344</v>
      </c>
      <c r="B17" s="107" t="s">
        <v>103</v>
      </c>
      <c r="C17" s="105">
        <v>11</v>
      </c>
      <c r="D17" s="104">
        <f>+C17/C19*100</f>
        <v>2.3809523809523809</v>
      </c>
      <c r="E17" s="106">
        <f>3/C17*100</f>
        <v>27.27272727272727</v>
      </c>
      <c r="F17" s="105"/>
      <c r="G17" s="104"/>
    </row>
    <row r="18" spans="1:12" s="91" customFormat="1" ht="11.25" x14ac:dyDescent="0.2">
      <c r="A18" s="103"/>
      <c r="B18" s="102" t="s">
        <v>66</v>
      </c>
      <c r="C18" s="100">
        <f>SUM(C11:C17)</f>
        <v>341</v>
      </c>
      <c r="D18" s="99">
        <f>+C18/C19*100</f>
        <v>73.80952380952381</v>
      </c>
      <c r="E18" s="101">
        <f>178/C18*100</f>
        <v>52.199413489736067</v>
      </c>
      <c r="F18" s="100">
        <f>SUM(F11:F17)</f>
        <v>303</v>
      </c>
      <c r="G18" s="99">
        <f t="shared" si="0"/>
        <v>0.12541254125412538</v>
      </c>
    </row>
    <row r="19" spans="1:12" s="91" customFormat="1" ht="11.25" x14ac:dyDescent="0.2">
      <c r="A19" s="132" t="s">
        <v>65</v>
      </c>
      <c r="B19" s="133"/>
      <c r="C19" s="97">
        <f>+C10+C18</f>
        <v>462</v>
      </c>
      <c r="D19" s="96">
        <v>100</v>
      </c>
      <c r="E19" s="98">
        <f>185/C19*100</f>
        <v>40.043290043290042</v>
      </c>
      <c r="F19" s="97">
        <f>+F10+F18</f>
        <v>403</v>
      </c>
      <c r="G19" s="96">
        <f t="shared" si="0"/>
        <v>0.14640198511166247</v>
      </c>
    </row>
    <row r="20" spans="1:12" s="91" customFormat="1" ht="11.25" x14ac:dyDescent="0.2">
      <c r="A20" s="95"/>
      <c r="B20" s="95"/>
      <c r="C20" s="93"/>
      <c r="D20" s="92"/>
      <c r="E20" s="94"/>
      <c r="F20" s="93"/>
      <c r="G20" s="92"/>
    </row>
    <row r="21" spans="1:12" s="91" customFormat="1" ht="15" customHeight="1" x14ac:dyDescent="0.2">
      <c r="A21" s="136" t="s">
        <v>64</v>
      </c>
      <c r="B21" s="136"/>
      <c r="C21" s="136"/>
      <c r="D21" s="136"/>
      <c r="E21" s="136"/>
      <c r="G21" s="72" t="s">
        <v>86</v>
      </c>
    </row>
    <row r="22" spans="1:12" s="91" customFormat="1" ht="23.25" customHeight="1" x14ac:dyDescent="0.2">
      <c r="A22" s="127" t="s">
        <v>90</v>
      </c>
      <c r="B22" s="127"/>
      <c r="C22" s="127"/>
      <c r="D22" s="127"/>
      <c r="E22" s="127"/>
      <c r="F22" s="127"/>
      <c r="G22" s="127"/>
    </row>
    <row r="23" spans="1:12" s="91" customFormat="1" ht="18.75" customHeight="1" x14ac:dyDescent="0.2">
      <c r="A23" s="134" t="s">
        <v>59</v>
      </c>
      <c r="B23" s="134"/>
      <c r="C23" s="134"/>
      <c r="D23" s="134"/>
      <c r="E23" s="134"/>
      <c r="F23" s="134"/>
      <c r="G23" s="134"/>
    </row>
    <row r="24" spans="1:12" ht="23.25" customHeight="1" x14ac:dyDescent="0.2">
      <c r="A24" s="128" t="s">
        <v>108</v>
      </c>
      <c r="B24" s="128"/>
      <c r="C24" s="128"/>
      <c r="D24" s="128"/>
      <c r="E24" s="128"/>
      <c r="F24" s="128"/>
      <c r="G24" s="128"/>
      <c r="H24" s="90"/>
      <c r="I24" s="90"/>
      <c r="J24" s="90"/>
      <c r="K24" s="90"/>
      <c r="L24" s="90"/>
    </row>
    <row r="30" spans="1:12" x14ac:dyDescent="0.2">
      <c r="C30" s="89"/>
    </row>
  </sheetData>
  <mergeCells count="8">
    <mergeCell ref="A22:G22"/>
    <mergeCell ref="A24:G24"/>
    <mergeCell ref="A1:D1"/>
    <mergeCell ref="A5:B5"/>
    <mergeCell ref="A19:B19"/>
    <mergeCell ref="A23:G23"/>
    <mergeCell ref="A3:H3"/>
    <mergeCell ref="A21:E21"/>
  </mergeCells>
  <pageMargins left="0.51181102362204722" right="0" top="0.27559055118110237" bottom="0.15748031496062992" header="0.31496062992125984" footer="0.2755905511811023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Normal="100" workbookViewId="0">
      <selection activeCell="J14" sqref="J14"/>
    </sheetView>
  </sheetViews>
  <sheetFormatPr baseColWidth="10" defaultRowHeight="12.75" x14ac:dyDescent="0.2"/>
  <cols>
    <col min="1" max="1" width="19.42578125" customWidth="1"/>
    <col min="9" max="9" width="11.28515625" customWidth="1"/>
  </cols>
  <sheetData>
    <row r="1" spans="1:9" s="82" customFormat="1" ht="15" x14ac:dyDescent="0.2">
      <c r="A1" s="84" t="s">
        <v>63</v>
      </c>
    </row>
    <row r="2" spans="1:9" s="82" customFormat="1" ht="15" x14ac:dyDescent="0.2">
      <c r="A2" s="84"/>
    </row>
    <row r="3" spans="1:9" s="82" customFormat="1" ht="15" customHeight="1" x14ac:dyDescent="0.2">
      <c r="A3" s="83" t="s">
        <v>85</v>
      </c>
    </row>
    <row r="4" spans="1:9" s="74" customFormat="1" ht="11.25" x14ac:dyDescent="0.2"/>
    <row r="5" spans="1:9" s="74" customFormat="1" ht="11.25" x14ac:dyDescent="0.2"/>
    <row r="6" spans="1:9" s="74" customFormat="1" ht="11.25" x14ac:dyDescent="0.2">
      <c r="A6" s="81"/>
      <c r="B6" s="80">
        <v>2016</v>
      </c>
      <c r="C6" s="80">
        <v>2017</v>
      </c>
      <c r="D6" s="80">
        <v>2018</v>
      </c>
      <c r="E6" s="80">
        <v>2019</v>
      </c>
      <c r="F6" s="80">
        <v>2020</v>
      </c>
      <c r="G6" s="80">
        <v>2021</v>
      </c>
      <c r="H6" s="80">
        <v>2022</v>
      </c>
      <c r="I6" s="80">
        <v>2023</v>
      </c>
    </row>
    <row r="7" spans="1:9" s="74" customFormat="1" ht="11.25" x14ac:dyDescent="0.2">
      <c r="A7" s="74" t="s">
        <v>62</v>
      </c>
      <c r="B7" s="77">
        <f>59+61</f>
        <v>120</v>
      </c>
      <c r="C7" s="77">
        <f>61+40</f>
        <v>101</v>
      </c>
      <c r="D7" s="77">
        <f>75+50</f>
        <v>125</v>
      </c>
      <c r="E7" s="77">
        <f>59+46</f>
        <v>105</v>
      </c>
      <c r="F7" s="77">
        <f>67+43</f>
        <v>110</v>
      </c>
      <c r="G7" s="77">
        <f>57+58</f>
        <v>115</v>
      </c>
      <c r="H7" s="74">
        <f>59+41</f>
        <v>100</v>
      </c>
      <c r="I7" s="74">
        <v>121</v>
      </c>
    </row>
    <row r="8" spans="1:9" s="74" customFormat="1" ht="11.25" x14ac:dyDescent="0.2">
      <c r="A8" s="78" t="s">
        <v>61</v>
      </c>
      <c r="B8" s="79">
        <f>168+117+34</f>
        <v>319</v>
      </c>
      <c r="C8" s="79">
        <f>145+135+26</f>
        <v>306</v>
      </c>
      <c r="D8" s="79">
        <f>194+116+36</f>
        <v>346</v>
      </c>
      <c r="E8" s="79">
        <f>179+152+39</f>
        <v>370</v>
      </c>
      <c r="F8" s="79">
        <f>209+125+33</f>
        <v>367</v>
      </c>
      <c r="G8" s="79">
        <f>174+155+39</f>
        <v>368</v>
      </c>
      <c r="H8" s="79">
        <f>172+105+26</f>
        <v>303</v>
      </c>
      <c r="I8" s="79">
        <v>341</v>
      </c>
    </row>
    <row r="9" spans="1:9" s="78" customFormat="1" ht="11.25" x14ac:dyDescent="0.2">
      <c r="B9" s="79"/>
      <c r="C9" s="79"/>
      <c r="D9" s="79"/>
      <c r="E9" s="79"/>
      <c r="F9" s="79"/>
      <c r="G9" s="79"/>
      <c r="H9" s="79"/>
    </row>
    <row r="10" spans="1:9" s="74" customFormat="1" ht="11.25" x14ac:dyDescent="0.2">
      <c r="A10" s="138" t="s">
        <v>60</v>
      </c>
      <c r="B10" s="138"/>
      <c r="C10" s="138"/>
      <c r="D10" s="138"/>
      <c r="E10" s="72"/>
      <c r="F10" s="72"/>
      <c r="G10" s="72" t="s">
        <v>86</v>
      </c>
    </row>
    <row r="11" spans="1:9" s="74" customFormat="1" ht="11.25" x14ac:dyDescent="0.2">
      <c r="B11" s="77"/>
      <c r="C11" s="77"/>
      <c r="D11" s="77"/>
      <c r="E11" s="77"/>
      <c r="F11" s="77"/>
      <c r="G11" s="77"/>
      <c r="H11" s="77"/>
    </row>
    <row r="12" spans="1:9" s="74" customFormat="1" ht="21.75" customHeight="1" x14ac:dyDescent="0.2">
      <c r="A12" s="76" t="s">
        <v>59</v>
      </c>
      <c r="B12" s="75"/>
      <c r="C12" s="75"/>
      <c r="D12" s="75"/>
    </row>
    <row r="13" spans="1:9" s="74" customFormat="1" ht="46.5" customHeight="1" x14ac:dyDescent="0.2">
      <c r="A13" s="137" t="s">
        <v>58</v>
      </c>
      <c r="B13" s="137"/>
      <c r="C13" s="137"/>
      <c r="D13" s="137"/>
    </row>
    <row r="15" spans="1:9" x14ac:dyDescent="0.2">
      <c r="C15" s="73"/>
      <c r="D15" s="73"/>
      <c r="E15" s="73"/>
      <c r="F15" s="73"/>
    </row>
    <row r="16" spans="1:9" x14ac:dyDescent="0.2">
      <c r="C16" s="73"/>
      <c r="D16" s="73"/>
      <c r="E16" s="73"/>
      <c r="F16" s="73"/>
    </row>
    <row r="17" spans="3:6" x14ac:dyDescent="0.2">
      <c r="C17" s="73"/>
      <c r="D17" s="73"/>
      <c r="E17" s="73"/>
      <c r="F17" s="73"/>
    </row>
    <row r="18" spans="3:6" x14ac:dyDescent="0.2">
      <c r="C18" s="73"/>
      <c r="D18" s="73"/>
      <c r="E18" s="73"/>
      <c r="F18" s="73"/>
    </row>
    <row r="33" spans="1:4" x14ac:dyDescent="0.2">
      <c r="A33" s="117" t="s">
        <v>57</v>
      </c>
      <c r="B33" s="117"/>
      <c r="C33" s="117"/>
      <c r="D33" s="117"/>
    </row>
  </sheetData>
  <mergeCells count="2">
    <mergeCell ref="A13:D13"/>
    <mergeCell ref="A10:D10"/>
  </mergeCells>
  <conditionalFormatting sqref="I7:I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14"/>
  <sheetViews>
    <sheetView showGridLines="0" topLeftCell="B1" zoomScaleNormal="100" workbookViewId="0">
      <selection activeCell="J9" sqref="J9"/>
    </sheetView>
  </sheetViews>
  <sheetFormatPr baseColWidth="10" defaultRowHeight="12.75" x14ac:dyDescent="0.2"/>
  <cols>
    <col min="1" max="1" width="44.28515625" style="41" customWidth="1"/>
    <col min="2" max="2" width="11.28515625" style="36" customWidth="1"/>
    <col min="3" max="5" width="7.5703125" style="36" customWidth="1"/>
    <col min="6" max="8" width="7.85546875" style="36" customWidth="1"/>
    <col min="9" max="9" width="9" style="36" customWidth="1"/>
    <col min="10" max="10" width="13" style="36" customWidth="1"/>
    <col min="11" max="16384" width="11.42578125" style="36"/>
  </cols>
  <sheetData>
    <row r="1" spans="1:12" ht="22.5" customHeight="1" x14ac:dyDescent="0.2">
      <c r="A1" s="125" t="s">
        <v>105</v>
      </c>
      <c r="B1" s="125"/>
      <c r="C1" s="125"/>
      <c r="D1" s="125"/>
      <c r="E1" s="125"/>
    </row>
    <row r="2" spans="1:12" x14ac:dyDescent="0.2">
      <c r="A2" s="29"/>
      <c r="B2" s="29"/>
      <c r="C2" s="29"/>
      <c r="D2" s="29"/>
    </row>
    <row r="3" spans="1:12" ht="12.75" customHeight="1" x14ac:dyDescent="0.2">
      <c r="A3" s="147" t="s">
        <v>110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s="3" customFormat="1" ht="11.25" x14ac:dyDescent="0.2">
      <c r="A4" s="30"/>
    </row>
    <row r="5" spans="1:12" s="3" customFormat="1" ht="12.75" customHeight="1" x14ac:dyDescent="0.2">
      <c r="A5" s="144" t="s">
        <v>5</v>
      </c>
      <c r="B5" s="140" t="s">
        <v>25</v>
      </c>
      <c r="C5" s="145" t="s">
        <v>30</v>
      </c>
      <c r="D5" s="145"/>
      <c r="E5" s="145"/>
      <c r="F5" s="146" t="s">
        <v>29</v>
      </c>
      <c r="G5" s="139" t="s">
        <v>19</v>
      </c>
      <c r="H5" s="146" t="s">
        <v>3</v>
      </c>
      <c r="I5" s="139" t="s">
        <v>99</v>
      </c>
      <c r="J5" s="140" t="s">
        <v>23</v>
      </c>
    </row>
    <row r="6" spans="1:12" s="3" customFormat="1" ht="22.5" x14ac:dyDescent="0.2">
      <c r="A6" s="144"/>
      <c r="B6" s="140"/>
      <c r="C6" s="37" t="s">
        <v>9</v>
      </c>
      <c r="D6" s="37" t="s">
        <v>8</v>
      </c>
      <c r="E6" s="37" t="s">
        <v>4</v>
      </c>
      <c r="F6" s="146"/>
      <c r="G6" s="139"/>
      <c r="H6" s="146"/>
      <c r="I6" s="139"/>
      <c r="J6" s="140"/>
    </row>
    <row r="7" spans="1:12" s="3" customFormat="1" ht="20.25" customHeight="1" x14ac:dyDescent="0.2">
      <c r="A7" s="31" t="s">
        <v>6</v>
      </c>
      <c r="B7" s="32">
        <f>8/$I7*100</f>
        <v>10.666666666666668</v>
      </c>
      <c r="C7" s="32">
        <f>15/$I7*100</f>
        <v>20</v>
      </c>
      <c r="D7" s="32">
        <f>5/$I7*100</f>
        <v>6.666666666666667</v>
      </c>
      <c r="E7" s="32"/>
      <c r="F7" s="32">
        <f>38/$I7*100</f>
        <v>50.666666666666671</v>
      </c>
      <c r="G7" s="32">
        <f>9/$I7*100</f>
        <v>12</v>
      </c>
      <c r="H7" s="32">
        <f t="shared" ref="H7" si="0">SUM(B7:G7)</f>
        <v>100</v>
      </c>
      <c r="I7" s="11">
        <v>75</v>
      </c>
      <c r="J7" s="33">
        <v>27.1</v>
      </c>
      <c r="L7" s="118"/>
    </row>
    <row r="8" spans="1:12" s="3" customFormat="1" ht="20.25" customHeight="1" x14ac:dyDescent="0.2">
      <c r="A8" s="31" t="s">
        <v>7</v>
      </c>
      <c r="B8" s="32">
        <f>48/$I8*100</f>
        <v>22.119815668202765</v>
      </c>
      <c r="C8" s="32">
        <f>3/$I8*100</f>
        <v>1.3824884792626728</v>
      </c>
      <c r="D8" s="32">
        <f>50/$I8*100</f>
        <v>23.041474654377879</v>
      </c>
      <c r="E8" s="32">
        <f>6/$I8*100</f>
        <v>2.7649769585253456</v>
      </c>
      <c r="F8" s="32">
        <f>62/$I8*100</f>
        <v>28.571428571428569</v>
      </c>
      <c r="G8" s="32">
        <f>48/$I8*100</f>
        <v>22.119815668202765</v>
      </c>
      <c r="H8" s="32">
        <f>SUM(B8:G8)</f>
        <v>100</v>
      </c>
      <c r="I8" s="11">
        <v>217</v>
      </c>
      <c r="J8" s="34">
        <v>11.3</v>
      </c>
      <c r="L8" s="118"/>
    </row>
    <row r="9" spans="1:12" s="3" customFormat="1" ht="20.25" customHeight="1" thickBot="1" x14ac:dyDescent="0.25">
      <c r="A9" s="38" t="s">
        <v>3</v>
      </c>
      <c r="B9" s="39">
        <f>56/$I9*100</f>
        <v>19.17808219178082</v>
      </c>
      <c r="C9" s="39">
        <f>18/$I9*100</f>
        <v>6.1643835616438354</v>
      </c>
      <c r="D9" s="39">
        <f>55/$I9*100</f>
        <v>18.835616438356166</v>
      </c>
      <c r="E9" s="39">
        <f>6/$I9*100</f>
        <v>2.054794520547945</v>
      </c>
      <c r="F9" s="39">
        <f>100/$I9*100</f>
        <v>34.246575342465754</v>
      </c>
      <c r="G9" s="39">
        <f>57/$I9*100</f>
        <v>19.520547945205479</v>
      </c>
      <c r="H9" s="39">
        <f>SUM(B9:G9)</f>
        <v>99.999999999999986</v>
      </c>
      <c r="I9" s="40">
        <f>SUM(I7:I8)</f>
        <v>292</v>
      </c>
      <c r="J9" s="34">
        <v>15</v>
      </c>
      <c r="L9" s="118"/>
    </row>
    <row r="10" spans="1:12" s="1" customFormat="1" ht="12" customHeight="1" x14ac:dyDescent="0.2">
      <c r="A10" s="122" t="s">
        <v>49</v>
      </c>
      <c r="B10" s="122"/>
      <c r="C10" s="122"/>
      <c r="D10" s="122"/>
      <c r="E10" s="122"/>
      <c r="F10" s="122"/>
      <c r="G10" s="122"/>
      <c r="H10" s="122"/>
      <c r="I10" s="4"/>
      <c r="J10" s="4"/>
    </row>
    <row r="11" spans="1:12" s="1" customFormat="1" ht="12" customHeight="1" x14ac:dyDescent="0.2">
      <c r="A11" s="12" t="s">
        <v>46</v>
      </c>
      <c r="B11" s="5"/>
      <c r="C11" s="5"/>
      <c r="D11" s="5"/>
      <c r="E11" s="6"/>
      <c r="F11" s="7"/>
      <c r="G11" s="7"/>
      <c r="H11" s="8"/>
      <c r="I11" s="8"/>
      <c r="J11" s="72" t="s">
        <v>86</v>
      </c>
    </row>
    <row r="12" spans="1:12" s="3" customFormat="1" ht="11.25" x14ac:dyDescent="0.2">
      <c r="A12" s="141" t="s">
        <v>20</v>
      </c>
      <c r="B12" s="142"/>
      <c r="C12" s="142"/>
      <c r="D12" s="142"/>
      <c r="E12" s="142"/>
      <c r="F12" s="142"/>
    </row>
    <row r="13" spans="1:12" s="35" customFormat="1" ht="27.75" customHeight="1" x14ac:dyDescent="0.2">
      <c r="A13" s="143" t="s">
        <v>100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2" ht="12.75" customHeight="1" x14ac:dyDescent="0.2">
      <c r="A14" s="123" t="s">
        <v>45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</row>
  </sheetData>
  <mergeCells count="14">
    <mergeCell ref="A1:E1"/>
    <mergeCell ref="A5:A6"/>
    <mergeCell ref="C5:E5"/>
    <mergeCell ref="F5:F6"/>
    <mergeCell ref="H5:H6"/>
    <mergeCell ref="A3:L3"/>
    <mergeCell ref="A14:L14"/>
    <mergeCell ref="I5:I6"/>
    <mergeCell ref="J5:J6"/>
    <mergeCell ref="A12:F12"/>
    <mergeCell ref="A13:J13"/>
    <mergeCell ref="G5:G6"/>
    <mergeCell ref="B5:B6"/>
    <mergeCell ref="A10:H10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6.04 Notice</vt:lpstr>
      <vt:lpstr>6.04 Graphique 1</vt:lpstr>
      <vt:lpstr>6.04 Tableau 1</vt:lpstr>
      <vt:lpstr>6.04 Tableau 2</vt:lpstr>
      <vt:lpstr>6.04 Tableau 3</vt:lpstr>
      <vt:lpstr>6.04 Tableau 4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;6.12</dc:title>
  <dc:creator>DEPP-MENJ - Ministère de l'Education nationale et de la Jeunesse;Direction de l'évaluation de la prospective et de la performance</dc:creator>
  <cp:lastModifiedBy>Santa Susini</cp:lastModifiedBy>
  <cp:lastPrinted>2024-01-17T12:46:45Z</cp:lastPrinted>
  <dcterms:created xsi:type="dcterms:W3CDTF">2009-04-22T08:08:29Z</dcterms:created>
  <dcterms:modified xsi:type="dcterms:W3CDTF">2024-01-17T12:46:57Z</dcterms:modified>
  <cp:contentStatus>Publié</cp:contentStatus>
</cp:coreProperties>
</file>